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c00fa0e8234d50/Desktop/"/>
    </mc:Choice>
  </mc:AlternateContent>
  <xr:revisionPtr revIDLastSave="30" documentId="8_{AF53F895-3803-AD4C-A095-EFDB2B62FBC4}" xr6:coauthVersionLast="47" xr6:coauthVersionMax="47" xr10:uidLastSave="{8F6E58CA-9C10-4C25-A56C-08627C7A6AB0}"/>
  <bookViews>
    <workbookView xWindow="33720" yWindow="6270" windowWidth="29040" windowHeight="15840" activeTab="5" xr2:uid="{00000000-000D-0000-FFFF-FFFF00000000}"/>
  </bookViews>
  <sheets>
    <sheet name="Revised Budget" sheetId="3" r:id="rId1"/>
    <sheet name="Revised Personnel" sheetId="4" r:id="rId2"/>
    <sheet name="Budget" sheetId="1" r:id="rId3"/>
    <sheet name="Personnel" sheetId="2" r:id="rId4"/>
    <sheet name="Reopening" sheetId="5" r:id="rId5"/>
    <sheet name="Gubbio Kitchen" sheetId="6" r:id="rId6"/>
  </sheets>
  <definedNames>
    <definedName name="_xlnm.Print_Area" localSheetId="2">Budget!$A$7:$F$72</definedName>
    <definedName name="_xlnm.Print_Titles" localSheetId="2">Budget!$1:$5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3" l="1"/>
  <c r="E50" i="3"/>
  <c r="D9" i="5"/>
  <c r="B9" i="5"/>
  <c r="B6" i="5"/>
  <c r="F50" i="3"/>
  <c r="F45" i="3"/>
  <c r="F46" i="3"/>
  <c r="F47" i="3"/>
  <c r="F48" i="3"/>
  <c r="F49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44" i="3"/>
  <c r="F39" i="3"/>
  <c r="F40" i="3"/>
  <c r="F34" i="3"/>
  <c r="F35" i="3"/>
  <c r="F36" i="3"/>
  <c r="F37" i="3"/>
  <c r="F38" i="3"/>
  <c r="E33" i="3"/>
  <c r="E41" i="3" s="1"/>
  <c r="F27" i="3"/>
  <c r="F28" i="3"/>
  <c r="F29" i="3"/>
  <c r="F30" i="3"/>
  <c r="F31" i="3"/>
  <c r="F32" i="3"/>
  <c r="C26" i="2"/>
  <c r="C25" i="4"/>
  <c r="F26" i="3"/>
  <c r="C26" i="4"/>
  <c r="I6" i="4"/>
  <c r="L6" i="4" s="1"/>
  <c r="I5" i="4"/>
  <c r="B5" i="4" s="1"/>
  <c r="E22" i="3"/>
  <c r="F12" i="3"/>
  <c r="F13" i="3"/>
  <c r="F14" i="3"/>
  <c r="F15" i="3"/>
  <c r="F16" i="3"/>
  <c r="F17" i="3"/>
  <c r="F18" i="3"/>
  <c r="F19" i="3"/>
  <c r="F20" i="3"/>
  <c r="F21" i="3"/>
  <c r="F11" i="3"/>
  <c r="D41" i="3"/>
  <c r="D22" i="3"/>
  <c r="F24" i="1"/>
  <c r="F33" i="1" s="1"/>
  <c r="F38" i="1"/>
  <c r="C23" i="2"/>
  <c r="F31" i="1" s="1"/>
  <c r="B18" i="2"/>
  <c r="L5" i="4" l="1"/>
  <c r="B6" i="4"/>
  <c r="B7" i="4" s="1"/>
  <c r="F33" i="3"/>
  <c r="F41" i="3" s="1"/>
  <c r="F69" i="3" s="1"/>
  <c r="F22" i="3"/>
  <c r="D69" i="3"/>
  <c r="D42" i="3" s="1"/>
  <c r="F20" i="1"/>
  <c r="F9" i="2"/>
  <c r="F5" i="2"/>
  <c r="B41" i="2"/>
  <c r="B11" i="2" s="1"/>
  <c r="D39" i="1"/>
  <c r="D66" i="1" s="1"/>
  <c r="D68" i="1" s="1"/>
  <c r="D20" i="1"/>
  <c r="E20" i="1"/>
  <c r="E39" i="1"/>
  <c r="D9" i="2"/>
  <c r="B36" i="2"/>
  <c r="B7" i="2" s="1"/>
  <c r="C28" i="4" l="1"/>
  <c r="L8" i="4"/>
  <c r="E66" i="1"/>
  <c r="E68" i="1" s="1"/>
  <c r="F42" i="3"/>
  <c r="F71" i="3"/>
  <c r="F73" i="3"/>
  <c r="D71" i="3"/>
  <c r="D73" i="3" s="1"/>
  <c r="F28" i="1"/>
  <c r="D11" i="2"/>
  <c r="F11" i="2"/>
  <c r="B16" i="2"/>
  <c r="F34" i="1" s="1"/>
  <c r="B19" i="2"/>
  <c r="B20" i="2" s="1"/>
  <c r="F32" i="1" s="1"/>
  <c r="B12" i="2"/>
  <c r="F25" i="1"/>
  <c r="F7" i="2"/>
  <c r="F12" i="2" s="1"/>
  <c r="D7" i="2"/>
  <c r="D12" i="2" s="1"/>
  <c r="G9" i="2"/>
  <c r="G5" i="2"/>
  <c r="E40" i="1" l="1"/>
  <c r="G11" i="2"/>
  <c r="G7" i="2"/>
  <c r="G12" i="2" l="1"/>
  <c r="F35" i="1" s="1"/>
  <c r="F39" i="1" s="1"/>
  <c r="F66" i="1" s="1"/>
  <c r="F68" i="1" s="1"/>
  <c r="F70" i="1" s="1"/>
  <c r="F40" i="1" l="1"/>
</calcChain>
</file>

<file path=xl/sharedStrings.xml><?xml version="1.0" encoding="utf-8"?>
<sst xmlns="http://schemas.openxmlformats.org/spreadsheetml/2006/main" count="228" uniqueCount="133">
  <si>
    <t>Revenue</t>
  </si>
  <si>
    <t>Expenses</t>
  </si>
  <si>
    <t>Current Year Pledges</t>
  </si>
  <si>
    <t>Plate</t>
  </si>
  <si>
    <t>Bequest</t>
  </si>
  <si>
    <t>Building Use</t>
  </si>
  <si>
    <t>Endowment Income</t>
  </si>
  <si>
    <t>Gifts</t>
  </si>
  <si>
    <t>Grants</t>
  </si>
  <si>
    <t>Other Income</t>
  </si>
  <si>
    <t>Interest Income</t>
  </si>
  <si>
    <t>Salary - Clergy</t>
  </si>
  <si>
    <t>Salary-Administrator</t>
  </si>
  <si>
    <t>Salary - Musician</t>
  </si>
  <si>
    <t>Salary - Sexton</t>
  </si>
  <si>
    <t>Subs and Termporary</t>
  </si>
  <si>
    <t>Salary - Verger</t>
  </si>
  <si>
    <t>Benefits - Clergy</t>
  </si>
  <si>
    <t>Benefits - Other Staff</t>
  </si>
  <si>
    <t>Pension - Clergy</t>
  </si>
  <si>
    <t>Pension - Other Staff</t>
  </si>
  <si>
    <t>Payroll Taxes</t>
  </si>
  <si>
    <t>Workers Compensation</t>
  </si>
  <si>
    <t>Rector's Expense</t>
  </si>
  <si>
    <t>Payroll Processing</t>
  </si>
  <si>
    <t>Accounting</t>
  </si>
  <si>
    <t>Bank Charges</t>
  </si>
  <si>
    <t>Building M&amp;R</t>
  </si>
  <si>
    <t>E-giving Fees</t>
  </si>
  <si>
    <t>Equipment Rental &amp; Maintenance</t>
  </si>
  <si>
    <t>Insurance</t>
  </si>
  <si>
    <t>Miscellaneous</t>
  </si>
  <si>
    <t>Postage</t>
  </si>
  <si>
    <t>Print &amp; Copy</t>
  </si>
  <si>
    <t>Security</t>
  </si>
  <si>
    <t>Supplies</t>
  </si>
  <si>
    <t>Subs &amp; Memberships</t>
  </si>
  <si>
    <t>Telecommunications</t>
  </si>
  <si>
    <t>Utilities</t>
  </si>
  <si>
    <t>Pest Control</t>
  </si>
  <si>
    <t>Worship Expense</t>
  </si>
  <si>
    <t>Music Program</t>
  </si>
  <si>
    <t>Hospitality</t>
  </si>
  <si>
    <t>Diocesan Assessment</t>
  </si>
  <si>
    <t>Evangelism</t>
  </si>
  <si>
    <t>Deanery Contribution</t>
  </si>
  <si>
    <t>Outreach Tithe</t>
  </si>
  <si>
    <t>St. John the Evangelist</t>
  </si>
  <si>
    <t>Total Revenue</t>
  </si>
  <si>
    <t>Net Gain or (Loss)</t>
  </si>
  <si>
    <t>Personnel Expense Computations</t>
  </si>
  <si>
    <t>Payroll Tax</t>
  </si>
  <si>
    <t>SSI * MC</t>
  </si>
  <si>
    <t>SDI</t>
  </si>
  <si>
    <t>Total</t>
  </si>
  <si>
    <t>Clergy Pension</t>
  </si>
  <si>
    <t>Admin</t>
  </si>
  <si>
    <t>Musician</t>
  </si>
  <si>
    <t>Admin salary computation</t>
  </si>
  <si>
    <t>Hourly rate</t>
  </si>
  <si>
    <t>Hours/week</t>
  </si>
  <si>
    <t>Annual</t>
  </si>
  <si>
    <t>Health Insurance - Vicar</t>
  </si>
  <si>
    <t>Kaiser EPO 80</t>
  </si>
  <si>
    <t xml:space="preserve">Individual </t>
  </si>
  <si>
    <t>2020 Salary</t>
  </si>
  <si>
    <t>COLA</t>
  </si>
  <si>
    <t>Personnel</t>
  </si>
  <si>
    <t>Total Personnel</t>
  </si>
  <si>
    <t>Personnel as % of total expense</t>
  </si>
  <si>
    <t>(1)</t>
  </si>
  <si>
    <t>Fund EZ.</t>
  </si>
  <si>
    <t>Total Expense</t>
  </si>
  <si>
    <t>TSF from Music Fund</t>
  </si>
  <si>
    <t>Beginning Cash on Hand</t>
  </si>
  <si>
    <t>Estimated Ending Cash on Hand</t>
  </si>
  <si>
    <t xml:space="preserve"> </t>
  </si>
  <si>
    <t>2021 Budget</t>
  </si>
  <si>
    <t>2020 Budget</t>
  </si>
  <si>
    <t>2020 Actual</t>
  </si>
  <si>
    <t>Equipment Purchase</t>
  </si>
  <si>
    <t>Parish Retreat and  Meetiings</t>
  </si>
  <si>
    <t>Salary - Neighborhood Connection</t>
  </si>
  <si>
    <t>2021 Salary</t>
  </si>
  <si>
    <t>Total Payroll Tax</t>
  </si>
  <si>
    <t>per hour</t>
  </si>
  <si>
    <t>hours/week</t>
  </si>
  <si>
    <t>Neighborhood Connection</t>
  </si>
  <si>
    <t xml:space="preserve">Weeks </t>
  </si>
  <si>
    <t>Salary</t>
  </si>
  <si>
    <t>Lay Employee Benefits</t>
  </si>
  <si>
    <t>EAP - Administrator</t>
  </si>
  <si>
    <t>Long-Term Disability</t>
  </si>
  <si>
    <t>Total non-pension benefits</t>
  </si>
  <si>
    <t>Loan forgivinness</t>
  </si>
  <si>
    <t xml:space="preserve">Includes Breeze Church Mgt @600, and annual maintenance for </t>
  </si>
  <si>
    <t>Pension - Admin &amp; Musician</t>
  </si>
  <si>
    <t>Neighborhood Connection.0</t>
  </si>
  <si>
    <t>Proposed Budget 2021</t>
  </si>
  <si>
    <t>Prepared on February 11, 2021</t>
  </si>
  <si>
    <t>(11 months @ $51,917/year)</t>
  </si>
  <si>
    <t>Saint John the Evangelist</t>
  </si>
  <si>
    <t>Proposed Revisions to 2021 Budget</t>
  </si>
  <si>
    <t>Original Budget</t>
  </si>
  <si>
    <t>Clergy - Scot</t>
  </si>
  <si>
    <t>Soct salary per month</t>
  </si>
  <si>
    <t>Clergy - Kevin</t>
  </si>
  <si>
    <t xml:space="preserve">Dental </t>
  </si>
  <si>
    <t>New surveillance equipment</t>
  </si>
  <si>
    <t xml:space="preserve">Could be as much as 30,000 </t>
  </si>
  <si>
    <t>Scot at 6.5 months; Kevin at 4.5 months</t>
  </si>
  <si>
    <t>Proposed Changes</t>
  </si>
  <si>
    <t>Proposed Revised Budget</t>
  </si>
  <si>
    <t>Gardener?</t>
  </si>
  <si>
    <t>As of 5/31, $5500 remaining budget</t>
  </si>
  <si>
    <t>BASICS to RE-OPEN</t>
  </si>
  <si>
    <t>Low Estimate</t>
  </si>
  <si>
    <t>High Estimate</t>
  </si>
  <si>
    <t>Roof Gutter</t>
  </si>
  <si>
    <t>NW Security Cam</t>
  </si>
  <si>
    <t>Nave Electrical/light</t>
  </si>
  <si>
    <t>Verger - Sun</t>
  </si>
  <si>
    <t>annualized</t>
  </si>
  <si>
    <t>Gardener</t>
  </si>
  <si>
    <t>170/month</t>
  </si>
  <si>
    <t>Bath Contingency</t>
  </si>
  <si>
    <t>Prof Bldg Ass</t>
  </si>
  <si>
    <t>TOTAL</t>
  </si>
  <si>
    <t>(100/wk for remaining weeks)</t>
  </si>
  <si>
    <t>Prepared on June 19, 2021</t>
  </si>
  <si>
    <t>Wire racks</t>
  </si>
  <si>
    <t>Countertop Replace</t>
  </si>
  <si>
    <t>Gubbio Kitchen Fix (6/29/21)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</si>
</sst>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5">
    <xf numFmtId="0" fontId="0" fillId="0" borderId="0"/>
    <xf numFmtId="43" fontId="1" fillId="0" borderId="0" quotePrefix="1" applyFont="0" applyFill="0" applyBorder="0" applyAlignment="0">
      <protection locked="0"/>
    </xf>
    <xf numFmtId="9" fontId="1" fillId="0" borderId="0" quotePrefix="1" applyFont="0" applyFill="0" applyBorder="0" applyAlignment="0">
      <protection locked="0"/>
    </xf>
    <xf numFmtId="0" fontId="7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164" fontId="1" fillId="0" borderId="0" xfId="1" applyNumberFormat="1">
      <protection locked="0"/>
    </xf>
    <xf numFmtId="0" fontId="0" fillId="0" borderId="0" xfId="0" applyAlignment="1">
      <alignment wrapText="1"/>
    </xf>
    <xf numFmtId="0" fontId="0" fillId="0" borderId="0" xfId="0" applyBorder="1"/>
    <xf numFmtId="164" fontId="0" fillId="0" borderId="1" xfId="0" applyNumberFormat="1" applyBorder="1"/>
    <xf numFmtId="0" fontId="0" fillId="0" borderId="1" xfId="0" applyBorder="1"/>
    <xf numFmtId="164" fontId="1" fillId="0" borderId="1" xfId="1" applyNumberFormat="1" applyBorder="1">
      <protection locked="0"/>
    </xf>
    <xf numFmtId="43" fontId="0" fillId="0" borderId="0" xfId="0" applyNumberFormat="1"/>
    <xf numFmtId="164" fontId="0" fillId="0" borderId="0" xfId="0" applyNumberFormat="1"/>
    <xf numFmtId="9" fontId="0" fillId="0" borderId="0" xfId="0" applyNumberFormat="1"/>
    <xf numFmtId="0" fontId="2" fillId="0" borderId="0" xfId="0" applyFont="1" applyAlignment="1">
      <alignment wrapText="1"/>
    </xf>
    <xf numFmtId="9" fontId="2" fillId="0" borderId="0" xfId="2" applyFont="1">
      <protection locked="0"/>
    </xf>
    <xf numFmtId="0" fontId="2" fillId="0" borderId="2" xfId="0" applyFont="1" applyBorder="1" applyAlignment="1">
      <alignment horizontal="center" wrapText="1"/>
    </xf>
    <xf numFmtId="43" fontId="2" fillId="0" borderId="0" xfId="1" applyFont="1">
      <protection locked="0"/>
    </xf>
    <xf numFmtId="164" fontId="0" fillId="0" borderId="0" xfId="1" applyNumberFormat="1" applyFont="1" applyAlignment="1">
      <alignment wrapText="1"/>
      <protection locked="0"/>
    </xf>
    <xf numFmtId="164" fontId="2" fillId="0" borderId="1" xfId="1" applyNumberFormat="1" applyFont="1" applyBorder="1" applyAlignment="1">
      <alignment wrapText="1"/>
      <protection locked="0"/>
    </xf>
    <xf numFmtId="164" fontId="2" fillId="0" borderId="0" xfId="1" applyNumberFormat="1" applyFont="1" applyAlignment="1">
      <alignment wrapText="1"/>
      <protection locked="0"/>
    </xf>
    <xf numFmtId="0" fontId="4" fillId="0" borderId="0" xfId="0" applyFont="1"/>
    <xf numFmtId="0" fontId="4" fillId="0" borderId="0" xfId="0" quotePrefix="1" applyFont="1"/>
    <xf numFmtId="164" fontId="4" fillId="0" borderId="2" xfId="1" applyNumberFormat="1" applyFont="1" applyBorder="1" applyAlignment="1">
      <alignment horizontal="right" wrapText="1"/>
      <protection locked="0"/>
    </xf>
    <xf numFmtId="164" fontId="4" fillId="0" borderId="0" xfId="1" applyNumberFormat="1" applyFont="1">
      <protection locked="0"/>
    </xf>
    <xf numFmtId="164" fontId="4" fillId="0" borderId="2" xfId="1" applyNumberFormat="1" applyFont="1" applyBorder="1">
      <protection locked="0"/>
    </xf>
    <xf numFmtId="164" fontId="4" fillId="0" borderId="3" xfId="1" applyNumberFormat="1" applyFont="1" applyFill="1" applyBorder="1" applyAlignment="1">
      <alignment horizontal="right" vertical="top"/>
      <protection locked="0"/>
    </xf>
    <xf numFmtId="9" fontId="4" fillId="0" borderId="0" xfId="2" applyFont="1" applyFill="1" applyBorder="1" applyAlignment="1">
      <alignment horizontal="right" vertical="top"/>
      <protection locked="0"/>
    </xf>
    <xf numFmtId="164" fontId="4" fillId="0" borderId="4" xfId="1" applyNumberFormat="1" applyFont="1" applyFill="1" applyBorder="1" applyAlignment="1">
      <alignment horizontal="right"/>
      <protection locked="0"/>
    </xf>
    <xf numFmtId="0" fontId="4" fillId="0" borderId="0" xfId="0" applyFont="1" applyBorder="1"/>
    <xf numFmtId="0" fontId="3" fillId="0" borderId="0" xfId="0" applyNumberFormat="1" applyFont="1" applyFill="1" applyBorder="1" applyAlignment="1" applyProtection="1">
      <alignment horizontal="left" vertical="top"/>
    </xf>
    <xf numFmtId="164" fontId="3" fillId="0" borderId="5" xfId="1" applyNumberFormat="1" applyFont="1" applyFill="1" applyBorder="1" applyAlignment="1">
      <alignment horizontal="left" vertical="top"/>
      <protection locked="0"/>
    </xf>
    <xf numFmtId="164" fontId="5" fillId="0" borderId="5" xfId="1" applyNumberFormat="1" applyFont="1" applyFill="1" applyBorder="1" applyAlignment="1">
      <alignment horizontal="left" vertical="top"/>
      <protection locked="0"/>
    </xf>
    <xf numFmtId="164" fontId="4" fillId="0" borderId="0" xfId="1" applyNumberFormat="1" applyFont="1" applyBorder="1" applyAlignment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left" vertical="top"/>
    </xf>
    <xf numFmtId="164" fontId="1" fillId="0" borderId="2" xfId="1" applyNumberFormat="1" applyFont="1" applyFill="1" applyBorder="1" applyAlignment="1">
      <alignment horizontal="right" wrapText="1" shrinkToFit="1"/>
      <protection locked="0"/>
    </xf>
    <xf numFmtId="0" fontId="1" fillId="0" borderId="0" xfId="0" applyFont="1" applyAlignment="1">
      <alignment wrapText="1"/>
    </xf>
    <xf numFmtId="49" fontId="6" fillId="0" borderId="0" xfId="0" applyNumberFormat="1" applyFont="1" applyAlignment="1">
      <alignment horizontal="left" vertical="top" readingOrder="1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/>
    <xf numFmtId="164" fontId="1" fillId="0" borderId="0" xfId="1" applyNumberFormat="1" applyFont="1">
      <protection locked="0"/>
    </xf>
    <xf numFmtId="0" fontId="1" fillId="0" borderId="0" xfId="0" applyNumberFormat="1" applyFont="1" applyFill="1" applyBorder="1" applyAlignment="1" applyProtection="1">
      <alignment horizontal="left" vertical="top"/>
    </xf>
    <xf numFmtId="164" fontId="1" fillId="0" borderId="0" xfId="1" applyNumberFormat="1" applyFont="1" applyFill="1" applyBorder="1" applyAlignment="1">
      <alignment horizontal="right" wrapText="1" shrinkToFit="1"/>
      <protection locked="0"/>
    </xf>
    <xf numFmtId="0" fontId="1" fillId="0" borderId="0" xfId="0" applyFont="1" applyBorder="1"/>
    <xf numFmtId="49" fontId="1" fillId="0" borderId="0" xfId="0" applyNumberFormat="1" applyFont="1" applyFill="1" applyBorder="1" applyAlignment="1" applyProtection="1">
      <alignment horizontal="left" vertical="top" wrapText="1" shrinkToFit="1"/>
    </xf>
    <xf numFmtId="164" fontId="1" fillId="0" borderId="0" xfId="1" applyNumberFormat="1" applyFont="1" applyFill="1" applyBorder="1" applyAlignment="1">
      <alignment horizontal="left" vertical="top" wrapText="1" shrinkToFit="1"/>
      <protection locked="0"/>
    </xf>
    <xf numFmtId="165" fontId="6" fillId="0" borderId="0" xfId="0" applyNumberFormat="1" applyFont="1" applyAlignment="1">
      <alignment horizontal="right" vertical="top" readingOrder="1"/>
    </xf>
    <xf numFmtId="164" fontId="1" fillId="0" borderId="0" xfId="1" applyNumberFormat="1" applyFont="1" applyFill="1" applyBorder="1" applyAlignment="1">
      <alignment horizontal="right" vertical="top"/>
      <protection locked="0"/>
    </xf>
    <xf numFmtId="165" fontId="6" fillId="0" borderId="2" xfId="0" applyNumberFormat="1" applyFont="1" applyBorder="1" applyAlignment="1">
      <alignment horizontal="right" vertical="top" readingOrder="1"/>
    </xf>
    <xf numFmtId="49" fontId="1" fillId="0" borderId="6" xfId="0" applyNumberFormat="1" applyFont="1" applyFill="1" applyBorder="1" applyAlignment="1" applyProtection="1">
      <alignment horizontal="left" vertical="top" wrapText="1" shrinkToFit="1"/>
    </xf>
    <xf numFmtId="43" fontId="1" fillId="0" borderId="0" xfId="0" applyNumberFormat="1" applyFont="1"/>
    <xf numFmtId="164" fontId="1" fillId="0" borderId="3" xfId="1" applyNumberFormat="1" applyFont="1" applyFill="1" applyBorder="1" applyAlignment="1">
      <alignment horizontal="right" vertical="top"/>
      <protection locked="0"/>
    </xf>
    <xf numFmtId="9" fontId="1" fillId="0" borderId="0" xfId="2" applyFont="1" applyFill="1" applyBorder="1" applyAlignment="1">
      <alignment horizontal="right" vertical="top"/>
      <protection locked="0"/>
    </xf>
    <xf numFmtId="0" fontId="1" fillId="0" borderId="0" xfId="0" quotePrefix="1" applyFont="1"/>
    <xf numFmtId="164" fontId="1" fillId="0" borderId="0" xfId="1" applyNumberFormat="1" applyFont="1" applyBorder="1">
      <protection locked="0"/>
    </xf>
    <xf numFmtId="0" fontId="1" fillId="0" borderId="0" xfId="0" applyNumberFormat="1" applyFont="1" applyFill="1" applyBorder="1" applyAlignment="1" applyProtection="1">
      <alignment horizontal="left" vertical="top" wrapText="1" shrinkToFi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64" fontId="1" fillId="0" borderId="2" xfId="1" applyNumberFormat="1" applyBorder="1">
      <protection locked="0"/>
    </xf>
    <xf numFmtId="164" fontId="1" fillId="0" borderId="2" xfId="1" applyNumberFormat="1" applyFont="1" applyBorder="1" applyAlignment="1">
      <alignment wrapText="1"/>
      <protection locked="0"/>
    </xf>
    <xf numFmtId="164" fontId="1" fillId="0" borderId="0" xfId="0" applyNumberFormat="1" applyFont="1"/>
    <xf numFmtId="165" fontId="1" fillId="0" borderId="0" xfId="0" applyNumberFormat="1" applyFont="1"/>
    <xf numFmtId="164" fontId="1" fillId="0" borderId="4" xfId="1" applyNumberFormat="1" applyFont="1" applyFill="1" applyBorder="1" applyAlignment="1">
      <alignment horizontal="right"/>
      <protection locked="0"/>
    </xf>
    <xf numFmtId="0" fontId="7" fillId="0" borderId="0" xfId="3"/>
    <xf numFmtId="164" fontId="0" fillId="0" borderId="2" xfId="0" applyNumberFormat="1" applyBorder="1"/>
    <xf numFmtId="43" fontId="0" fillId="0" borderId="0" xfId="1" applyFont="1">
      <protection locked="0"/>
    </xf>
    <xf numFmtId="164" fontId="0" fillId="0" borderId="0" xfId="1" applyNumberFormat="1" applyFont="1">
      <protection locked="0"/>
    </xf>
    <xf numFmtId="164" fontId="0" fillId="0" borderId="2" xfId="1" applyNumberFormat="1" applyFont="1" applyBorder="1">
      <protection locked="0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  <protection locked="0"/>
    </xf>
    <xf numFmtId="0" fontId="4" fillId="0" borderId="2" xfId="0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  <protection locked="0"/>
    </xf>
    <xf numFmtId="0" fontId="4" fillId="0" borderId="0" xfId="0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  <protection locked="0"/>
    </xf>
    <xf numFmtId="0" fontId="8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44" fontId="0" fillId="2" borderId="0" xfId="0" applyNumberFormat="1" applyFill="1"/>
    <xf numFmtId="0" fontId="0" fillId="2" borderId="0" xfId="0" applyFill="1"/>
    <xf numFmtId="0" fontId="1" fillId="0" borderId="0" xfId="4"/>
    <xf numFmtId="6" fontId="1" fillId="0" borderId="0" xfId="4" applyNumberFormat="1"/>
    <xf numFmtId="6" fontId="1" fillId="2" borderId="0" xfId="4" applyNumberFormat="1" applyFill="1"/>
    <xf numFmtId="0" fontId="1" fillId="2" borderId="0" xfId="4" applyFill="1"/>
    <xf numFmtId="0" fontId="4" fillId="0" borderId="0" xfId="4" applyFont="1"/>
  </cellXfs>
  <cellStyles count="5">
    <cellStyle name="Comma" xfId="1" builtinId="3"/>
    <cellStyle name="Hyperlink" xfId="3" builtinId="8"/>
    <cellStyle name="Normal" xfId="0" builtinId="0"/>
    <cellStyle name="Normal 2" xfId="4" xr:uid="{0D604669-D122-4D84-9F06-6095B7A62E7E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B4B4B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552C-BEA3-2444-827A-6393792B8D72}">
  <dimension ref="A1:G73"/>
  <sheetViews>
    <sheetView topLeftCell="A4" zoomScale="150" zoomScaleNormal="150" workbookViewId="0">
      <selection activeCell="A4" sqref="A4"/>
    </sheetView>
  </sheetViews>
  <sheetFormatPr defaultColWidth="10.90625" defaultRowHeight="13" x14ac:dyDescent="0.3"/>
  <cols>
    <col min="1" max="1" width="2.453125" style="18" customWidth="1"/>
    <col min="2" max="2" width="3.1796875" customWidth="1"/>
    <col min="3" max="3" width="28.36328125" bestFit="1" customWidth="1"/>
    <col min="4" max="4" width="11.6328125" customWidth="1"/>
    <col min="5" max="5" width="10.81640625" style="63"/>
    <col min="6" max="6" width="13.453125" style="63" customWidth="1"/>
  </cols>
  <sheetData>
    <row r="1" spans="1:7" x14ac:dyDescent="0.3">
      <c r="A1" s="18" t="s">
        <v>101</v>
      </c>
    </row>
    <row r="2" spans="1:7" x14ac:dyDescent="0.3">
      <c r="A2" s="18" t="s">
        <v>102</v>
      </c>
    </row>
    <row r="3" spans="1:7" ht="12.5" x14ac:dyDescent="0.25">
      <c r="A3" s="36" t="s">
        <v>129</v>
      </c>
    </row>
    <row r="6" spans="1:7" x14ac:dyDescent="0.3">
      <c r="D6" s="65"/>
      <c r="E6" s="66" t="s">
        <v>76</v>
      </c>
      <c r="F6" s="66"/>
    </row>
    <row r="7" spans="1:7" ht="30" customHeight="1" x14ac:dyDescent="0.3">
      <c r="D7" s="67" t="s">
        <v>103</v>
      </c>
      <c r="E7" s="68" t="s">
        <v>111</v>
      </c>
      <c r="F7" s="68" t="s">
        <v>112</v>
      </c>
    </row>
    <row r="8" spans="1:7" ht="13" customHeight="1" x14ac:dyDescent="0.3">
      <c r="D8" s="69"/>
      <c r="E8" s="70"/>
      <c r="F8" s="70"/>
    </row>
    <row r="9" spans="1:7" x14ac:dyDescent="0.3">
      <c r="A9" s="26"/>
      <c r="B9" s="26"/>
      <c r="C9" s="31" t="s">
        <v>74</v>
      </c>
      <c r="D9" s="9">
        <v>90058</v>
      </c>
      <c r="F9" s="9">
        <v>90058</v>
      </c>
    </row>
    <row r="10" spans="1:7" x14ac:dyDescent="0.3">
      <c r="A10" s="18" t="s">
        <v>0</v>
      </c>
      <c r="B10" s="18"/>
      <c r="C10" s="41"/>
      <c r="D10" s="9"/>
    </row>
    <row r="11" spans="1:7" x14ac:dyDescent="0.3">
      <c r="B11" s="18"/>
      <c r="C11" s="35" t="s">
        <v>2</v>
      </c>
      <c r="D11" s="9">
        <v>157164</v>
      </c>
      <c r="F11" s="63">
        <f>+D11+E11</f>
        <v>157164</v>
      </c>
    </row>
    <row r="12" spans="1:7" x14ac:dyDescent="0.3">
      <c r="B12" s="18"/>
      <c r="C12" s="35" t="s">
        <v>3</v>
      </c>
      <c r="D12" s="9">
        <v>1000</v>
      </c>
      <c r="F12" s="63">
        <f t="shared" ref="F12:F22" si="0">+D12+E12</f>
        <v>1000</v>
      </c>
    </row>
    <row r="13" spans="1:7" x14ac:dyDescent="0.3">
      <c r="B13" s="18"/>
      <c r="C13" s="35" t="s">
        <v>4</v>
      </c>
      <c r="D13" s="9">
        <v>3500</v>
      </c>
      <c r="F13" s="63">
        <f t="shared" si="0"/>
        <v>3500</v>
      </c>
    </row>
    <row r="14" spans="1:7" x14ac:dyDescent="0.3">
      <c r="B14" s="18"/>
      <c r="C14" s="35" t="s">
        <v>5</v>
      </c>
      <c r="D14" s="9">
        <v>10000</v>
      </c>
      <c r="E14" s="63">
        <v>12184</v>
      </c>
      <c r="F14" s="63">
        <f t="shared" si="0"/>
        <v>22184</v>
      </c>
      <c r="G14" t="s">
        <v>109</v>
      </c>
    </row>
    <row r="15" spans="1:7" x14ac:dyDescent="0.3">
      <c r="B15" s="18"/>
      <c r="C15" s="35" t="s">
        <v>6</v>
      </c>
      <c r="D15" s="9">
        <v>6300</v>
      </c>
      <c r="F15" s="63">
        <f t="shared" si="0"/>
        <v>6300</v>
      </c>
    </row>
    <row r="16" spans="1:7" x14ac:dyDescent="0.3">
      <c r="B16" s="18"/>
      <c r="C16" s="35" t="s">
        <v>7</v>
      </c>
      <c r="D16" s="9">
        <v>20000</v>
      </c>
      <c r="F16" s="63">
        <f t="shared" si="0"/>
        <v>20000</v>
      </c>
    </row>
    <row r="17" spans="1:7" x14ac:dyDescent="0.3">
      <c r="B17" s="18"/>
      <c r="C17" s="35" t="s">
        <v>8</v>
      </c>
      <c r="D17" s="9">
        <v>12000</v>
      </c>
      <c r="F17" s="63">
        <f t="shared" si="0"/>
        <v>12000</v>
      </c>
    </row>
    <row r="18" spans="1:7" x14ac:dyDescent="0.3">
      <c r="B18" s="18"/>
      <c r="C18" s="35" t="s">
        <v>9</v>
      </c>
      <c r="D18" s="9"/>
      <c r="F18" s="63">
        <f t="shared" si="0"/>
        <v>0</v>
      </c>
    </row>
    <row r="19" spans="1:7" x14ac:dyDescent="0.3">
      <c r="B19" s="18"/>
      <c r="C19" s="35" t="s">
        <v>10</v>
      </c>
      <c r="D19" s="9">
        <v>50</v>
      </c>
      <c r="F19" s="63">
        <f t="shared" si="0"/>
        <v>50</v>
      </c>
    </row>
    <row r="20" spans="1:7" x14ac:dyDescent="0.3">
      <c r="B20" s="18"/>
      <c r="C20" s="35" t="s">
        <v>94</v>
      </c>
      <c r="D20" s="9">
        <v>19257</v>
      </c>
      <c r="F20" s="63">
        <f t="shared" si="0"/>
        <v>19257</v>
      </c>
    </row>
    <row r="21" spans="1:7" x14ac:dyDescent="0.3">
      <c r="B21" s="18"/>
      <c r="C21" s="35" t="s">
        <v>73</v>
      </c>
      <c r="D21" s="61">
        <v>3000</v>
      </c>
      <c r="E21" s="64"/>
      <c r="F21" s="64">
        <f t="shared" si="0"/>
        <v>3000</v>
      </c>
    </row>
    <row r="22" spans="1:7" x14ac:dyDescent="0.3">
      <c r="A22" s="18" t="s">
        <v>48</v>
      </c>
      <c r="B22" s="18"/>
      <c r="C22" s="46"/>
      <c r="D22" s="9">
        <f>SUM(D11:D21)</f>
        <v>232271</v>
      </c>
      <c r="E22" s="9">
        <f>SUM(E11:E21)</f>
        <v>12184</v>
      </c>
      <c r="F22" s="63">
        <f t="shared" si="0"/>
        <v>244455</v>
      </c>
    </row>
    <row r="23" spans="1:7" x14ac:dyDescent="0.3">
      <c r="B23" s="18"/>
      <c r="C23" s="41"/>
      <c r="D23" s="9"/>
    </row>
    <row r="24" spans="1:7" x14ac:dyDescent="0.3">
      <c r="A24" s="18" t="s">
        <v>1</v>
      </c>
      <c r="B24" s="18"/>
      <c r="C24" s="41"/>
      <c r="D24" s="9"/>
    </row>
    <row r="25" spans="1:7" x14ac:dyDescent="0.3">
      <c r="B25" s="18" t="s">
        <v>67</v>
      </c>
      <c r="C25" s="41"/>
      <c r="D25" s="9"/>
    </row>
    <row r="26" spans="1:7" x14ac:dyDescent="0.3">
      <c r="B26" s="18"/>
      <c r="C26" s="35" t="s">
        <v>11</v>
      </c>
      <c r="D26" s="9">
        <v>47590.583333333336</v>
      </c>
      <c r="E26" s="63">
        <v>4344</v>
      </c>
      <c r="F26" s="63">
        <f t="shared" ref="F26:F40" si="1">+D26+E26</f>
        <v>51934.583333333336</v>
      </c>
      <c r="G26" t="s">
        <v>110</v>
      </c>
    </row>
    <row r="27" spans="1:7" x14ac:dyDescent="0.3">
      <c r="B27" s="18"/>
      <c r="C27" s="35" t="s">
        <v>12</v>
      </c>
      <c r="D27" s="9">
        <v>21840</v>
      </c>
      <c r="F27" s="63">
        <f t="shared" si="1"/>
        <v>21840</v>
      </c>
    </row>
    <row r="28" spans="1:7" x14ac:dyDescent="0.3">
      <c r="B28" s="18"/>
      <c r="C28" s="35" t="s">
        <v>13</v>
      </c>
      <c r="D28" s="9">
        <v>21840</v>
      </c>
      <c r="F28" s="63">
        <f t="shared" si="1"/>
        <v>21840</v>
      </c>
    </row>
    <row r="29" spans="1:7" x14ac:dyDescent="0.3">
      <c r="B29" s="18"/>
      <c r="C29" s="35" t="s">
        <v>14</v>
      </c>
      <c r="D29" s="9">
        <v>7000</v>
      </c>
      <c r="F29" s="63">
        <f t="shared" si="1"/>
        <v>7000</v>
      </c>
    </row>
    <row r="30" spans="1:7" x14ac:dyDescent="0.3">
      <c r="B30" s="18"/>
      <c r="C30" s="35" t="s">
        <v>82</v>
      </c>
      <c r="D30" s="9">
        <v>6240</v>
      </c>
      <c r="F30" s="63">
        <f t="shared" si="1"/>
        <v>6240</v>
      </c>
    </row>
    <row r="31" spans="1:7" x14ac:dyDescent="0.3">
      <c r="B31" s="18"/>
      <c r="C31" s="35" t="s">
        <v>15</v>
      </c>
      <c r="D31" s="9">
        <v>1000</v>
      </c>
      <c r="F31" s="63">
        <f t="shared" si="1"/>
        <v>1000</v>
      </c>
    </row>
    <row r="32" spans="1:7" x14ac:dyDescent="0.3">
      <c r="B32" s="18"/>
      <c r="C32" s="35" t="s">
        <v>16</v>
      </c>
      <c r="D32" s="9">
        <v>2000</v>
      </c>
      <c r="E32" s="63">
        <v>400</v>
      </c>
      <c r="F32" s="63">
        <f t="shared" si="1"/>
        <v>2400</v>
      </c>
      <c r="G32" s="36" t="s">
        <v>128</v>
      </c>
    </row>
    <row r="33" spans="2:7" x14ac:dyDescent="0.3">
      <c r="B33" s="18"/>
      <c r="C33" s="35" t="s">
        <v>17</v>
      </c>
      <c r="D33" s="9">
        <v>5282.88</v>
      </c>
      <c r="E33" s="63">
        <f>9996-D33</f>
        <v>4713.12</v>
      </c>
      <c r="F33" s="63">
        <f t="shared" si="1"/>
        <v>9996</v>
      </c>
    </row>
    <row r="34" spans="2:7" x14ac:dyDescent="0.3">
      <c r="B34" s="18"/>
      <c r="C34" s="35" t="s">
        <v>18</v>
      </c>
      <c r="D34" s="9">
        <v>305.66399999999999</v>
      </c>
      <c r="F34" s="63">
        <f t="shared" si="1"/>
        <v>305.66399999999999</v>
      </c>
    </row>
    <row r="35" spans="2:7" x14ac:dyDescent="0.3">
      <c r="B35" s="18"/>
      <c r="C35" s="35" t="s">
        <v>19</v>
      </c>
      <c r="D35" s="9">
        <v>8566.3050000000003</v>
      </c>
      <c r="E35" s="63">
        <v>781.85999999999876</v>
      </c>
      <c r="F35" s="63">
        <f t="shared" si="1"/>
        <v>9348.1649999999991</v>
      </c>
    </row>
    <row r="36" spans="2:7" x14ac:dyDescent="0.3">
      <c r="B36" s="18"/>
      <c r="C36" s="35" t="s">
        <v>20</v>
      </c>
      <c r="D36" s="9">
        <v>3058</v>
      </c>
      <c r="F36" s="63">
        <f t="shared" si="1"/>
        <v>3058</v>
      </c>
    </row>
    <row r="37" spans="2:7" x14ac:dyDescent="0.3">
      <c r="B37" s="18"/>
      <c r="C37" s="35" t="s">
        <v>21</v>
      </c>
      <c r="D37" s="9">
        <v>4287</v>
      </c>
      <c r="F37" s="63">
        <f t="shared" si="1"/>
        <v>4287</v>
      </c>
    </row>
    <row r="38" spans="2:7" x14ac:dyDescent="0.3">
      <c r="B38" s="18"/>
      <c r="C38" s="35" t="s">
        <v>22</v>
      </c>
      <c r="D38" s="9">
        <v>530</v>
      </c>
      <c r="F38" s="63">
        <f t="shared" si="1"/>
        <v>530</v>
      </c>
    </row>
    <row r="39" spans="2:7" x14ac:dyDescent="0.3">
      <c r="B39" s="18"/>
      <c r="C39" s="35" t="s">
        <v>23</v>
      </c>
      <c r="D39" s="9">
        <v>700</v>
      </c>
      <c r="F39" s="63">
        <f t="shared" si="1"/>
        <v>700</v>
      </c>
    </row>
    <row r="40" spans="2:7" x14ac:dyDescent="0.3">
      <c r="B40" s="18"/>
      <c r="C40" s="35" t="s">
        <v>24</v>
      </c>
      <c r="D40" s="61">
        <v>574</v>
      </c>
      <c r="E40" s="64"/>
      <c r="F40" s="64">
        <f t="shared" si="1"/>
        <v>574</v>
      </c>
    </row>
    <row r="41" spans="2:7" x14ac:dyDescent="0.3">
      <c r="B41" s="18" t="s">
        <v>68</v>
      </c>
      <c r="C41" s="35"/>
      <c r="D41" s="9">
        <f>SUM(D26:D40)</f>
        <v>130814.43233333336</v>
      </c>
      <c r="E41" s="9">
        <f t="shared" ref="E41:F41" si="2">SUM(E26:E40)</f>
        <v>10238.979999999998</v>
      </c>
      <c r="F41" s="9">
        <f t="shared" si="2"/>
        <v>141053.41233333334</v>
      </c>
    </row>
    <row r="42" spans="2:7" x14ac:dyDescent="0.3">
      <c r="B42" s="18" t="s">
        <v>69</v>
      </c>
      <c r="C42" s="35"/>
      <c r="D42" s="10">
        <f>ROUND(D41/D69,2)</f>
        <v>0.56999999999999995</v>
      </c>
      <c r="F42" s="10">
        <f>ROUND(F41/F69,2)</f>
        <v>0.55000000000000004</v>
      </c>
    </row>
    <row r="43" spans="2:7" x14ac:dyDescent="0.3">
      <c r="B43" s="18"/>
      <c r="C43" s="35"/>
      <c r="D43" s="10"/>
    </row>
    <row r="44" spans="2:7" x14ac:dyDescent="0.3">
      <c r="B44" s="18"/>
      <c r="C44" s="35" t="s">
        <v>25</v>
      </c>
      <c r="D44" s="9">
        <v>1300</v>
      </c>
      <c r="F44" s="63">
        <f>SUM(D44:E44)</f>
        <v>1300</v>
      </c>
    </row>
    <row r="45" spans="2:7" x14ac:dyDescent="0.3">
      <c r="B45" s="18"/>
      <c r="C45" s="35" t="s">
        <v>26</v>
      </c>
      <c r="D45" s="9">
        <v>50</v>
      </c>
      <c r="F45" s="63">
        <f t="shared" ref="F45:F67" si="3">SUM(D45:E45)</f>
        <v>50</v>
      </c>
    </row>
    <row r="46" spans="2:7" x14ac:dyDescent="0.3">
      <c r="B46" s="18"/>
      <c r="C46" s="35" t="s">
        <v>27</v>
      </c>
      <c r="D46" s="9">
        <v>7000</v>
      </c>
      <c r="E46" s="63">
        <v>11600</v>
      </c>
      <c r="F46" s="63">
        <f t="shared" si="3"/>
        <v>18600</v>
      </c>
      <c r="G46" s="36" t="s">
        <v>114</v>
      </c>
    </row>
    <row r="47" spans="2:7" x14ac:dyDescent="0.3">
      <c r="B47" s="18"/>
      <c r="C47" s="35" t="s">
        <v>28</v>
      </c>
      <c r="D47" s="9">
        <v>1800</v>
      </c>
      <c r="F47" s="63">
        <f t="shared" si="3"/>
        <v>1800</v>
      </c>
    </row>
    <row r="48" spans="2:7" x14ac:dyDescent="0.3">
      <c r="B48" s="18"/>
      <c r="C48" s="35" t="s">
        <v>80</v>
      </c>
      <c r="D48" s="9">
        <v>1000</v>
      </c>
      <c r="F48" s="63">
        <f t="shared" si="3"/>
        <v>1000</v>
      </c>
    </row>
    <row r="49" spans="2:7" x14ac:dyDescent="0.3">
      <c r="B49" s="18"/>
      <c r="C49" s="35" t="s">
        <v>29</v>
      </c>
      <c r="D49" s="9">
        <v>3800</v>
      </c>
      <c r="F49" s="63">
        <f t="shared" si="3"/>
        <v>3800</v>
      </c>
    </row>
    <row r="50" spans="2:7" x14ac:dyDescent="0.3">
      <c r="B50" s="18"/>
      <c r="C50" s="35" t="s">
        <v>113</v>
      </c>
      <c r="D50" s="9"/>
      <c r="E50" s="63">
        <f>6*170</f>
        <v>1020</v>
      </c>
      <c r="F50" s="63">
        <f t="shared" si="3"/>
        <v>1020</v>
      </c>
    </row>
    <row r="51" spans="2:7" x14ac:dyDescent="0.3">
      <c r="B51" s="18"/>
      <c r="C51" s="35" t="s">
        <v>30</v>
      </c>
      <c r="D51" s="9">
        <v>18000</v>
      </c>
      <c r="F51" s="63">
        <f t="shared" si="3"/>
        <v>18000</v>
      </c>
    </row>
    <row r="52" spans="2:7" x14ac:dyDescent="0.3">
      <c r="B52" s="18"/>
      <c r="C52" s="35" t="s">
        <v>31</v>
      </c>
      <c r="D52" s="9">
        <v>500</v>
      </c>
      <c r="F52" s="63">
        <f t="shared" si="3"/>
        <v>500</v>
      </c>
    </row>
    <row r="53" spans="2:7" x14ac:dyDescent="0.3">
      <c r="B53" s="18"/>
      <c r="C53" s="35" t="s">
        <v>32</v>
      </c>
      <c r="D53" s="9">
        <v>200</v>
      </c>
      <c r="F53" s="63">
        <f t="shared" si="3"/>
        <v>200</v>
      </c>
    </row>
    <row r="54" spans="2:7" x14ac:dyDescent="0.3">
      <c r="B54" s="18"/>
      <c r="C54" s="35" t="s">
        <v>33</v>
      </c>
      <c r="D54" s="9">
        <v>100</v>
      </c>
      <c r="F54" s="63">
        <f t="shared" si="3"/>
        <v>100</v>
      </c>
    </row>
    <row r="55" spans="2:7" x14ac:dyDescent="0.3">
      <c r="B55" s="18"/>
      <c r="C55" s="35" t="s">
        <v>34</v>
      </c>
      <c r="D55" s="9">
        <v>1200</v>
      </c>
      <c r="E55" s="63">
        <v>3723</v>
      </c>
      <c r="F55" s="63">
        <f t="shared" si="3"/>
        <v>4923</v>
      </c>
      <c r="G55" t="s">
        <v>108</v>
      </c>
    </row>
    <row r="56" spans="2:7" x14ac:dyDescent="0.3">
      <c r="B56" s="18"/>
      <c r="C56" s="35" t="s">
        <v>35</v>
      </c>
      <c r="D56" s="9">
        <v>5000</v>
      </c>
      <c r="F56" s="63">
        <f t="shared" si="3"/>
        <v>5000</v>
      </c>
    </row>
    <row r="57" spans="2:7" x14ac:dyDescent="0.3">
      <c r="B57" s="18"/>
      <c r="C57" s="35" t="s">
        <v>36</v>
      </c>
      <c r="D57" s="9">
        <v>200</v>
      </c>
      <c r="F57" s="63">
        <f t="shared" si="3"/>
        <v>200</v>
      </c>
    </row>
    <row r="58" spans="2:7" x14ac:dyDescent="0.3">
      <c r="B58" s="18"/>
      <c r="C58" s="35" t="s">
        <v>37</v>
      </c>
      <c r="D58" s="9">
        <v>3500</v>
      </c>
      <c r="F58" s="63">
        <f t="shared" si="3"/>
        <v>3500</v>
      </c>
    </row>
    <row r="59" spans="2:7" x14ac:dyDescent="0.3">
      <c r="B59" s="18"/>
      <c r="C59" s="35" t="s">
        <v>38</v>
      </c>
      <c r="D59" s="9">
        <v>19000</v>
      </c>
      <c r="F59" s="63">
        <f t="shared" si="3"/>
        <v>19000</v>
      </c>
    </row>
    <row r="60" spans="2:7" x14ac:dyDescent="0.3">
      <c r="B60" s="18"/>
      <c r="C60" s="35" t="s">
        <v>39</v>
      </c>
      <c r="D60" s="9">
        <v>2000</v>
      </c>
      <c r="F60" s="63">
        <f t="shared" si="3"/>
        <v>2000</v>
      </c>
    </row>
    <row r="61" spans="2:7" x14ac:dyDescent="0.3">
      <c r="B61" s="18"/>
      <c r="C61" s="35" t="s">
        <v>40</v>
      </c>
      <c r="D61" s="9">
        <v>600</v>
      </c>
      <c r="F61" s="63">
        <f t="shared" si="3"/>
        <v>600</v>
      </c>
    </row>
    <row r="62" spans="2:7" x14ac:dyDescent="0.3">
      <c r="B62" s="18"/>
      <c r="C62" s="35" t="s">
        <v>41</v>
      </c>
      <c r="D62" s="9">
        <v>3000</v>
      </c>
      <c r="F62" s="63">
        <f t="shared" si="3"/>
        <v>3000</v>
      </c>
    </row>
    <row r="63" spans="2:7" x14ac:dyDescent="0.3">
      <c r="B63" s="18"/>
      <c r="C63" s="35" t="s">
        <v>42</v>
      </c>
      <c r="D63" s="9">
        <v>100</v>
      </c>
      <c r="F63" s="63">
        <f t="shared" si="3"/>
        <v>100</v>
      </c>
    </row>
    <row r="64" spans="2:7" x14ac:dyDescent="0.3">
      <c r="B64" s="18"/>
      <c r="C64" s="35" t="s">
        <v>43</v>
      </c>
      <c r="D64" s="9">
        <v>29439</v>
      </c>
      <c r="F64" s="63">
        <f t="shared" si="3"/>
        <v>29439</v>
      </c>
    </row>
    <row r="65" spans="1:6" x14ac:dyDescent="0.3">
      <c r="B65" s="18"/>
      <c r="C65" s="35" t="s">
        <v>44</v>
      </c>
      <c r="D65" s="9">
        <v>500</v>
      </c>
      <c r="F65" s="63">
        <f t="shared" si="3"/>
        <v>500</v>
      </c>
    </row>
    <row r="66" spans="1:6" x14ac:dyDescent="0.3">
      <c r="B66" s="18"/>
      <c r="C66" s="35" t="s">
        <v>45</v>
      </c>
      <c r="D66" s="9">
        <v>250</v>
      </c>
      <c r="F66" s="63">
        <f t="shared" si="3"/>
        <v>250</v>
      </c>
    </row>
    <row r="67" spans="1:6" x14ac:dyDescent="0.3">
      <c r="B67" s="18"/>
      <c r="C67" s="35" t="s">
        <v>46</v>
      </c>
      <c r="D67" s="9">
        <v>1500</v>
      </c>
      <c r="F67" s="63">
        <f t="shared" si="3"/>
        <v>1500</v>
      </c>
    </row>
    <row r="68" spans="1:6" x14ac:dyDescent="0.3">
      <c r="B68" s="18"/>
      <c r="C68" s="34" t="s">
        <v>81</v>
      </c>
      <c r="D68" s="61"/>
      <c r="E68" s="64"/>
      <c r="F68" s="64"/>
    </row>
    <row r="69" spans="1:6" x14ac:dyDescent="0.3">
      <c r="A69" s="18" t="s">
        <v>72</v>
      </c>
      <c r="B69" s="18"/>
      <c r="C69" s="35"/>
      <c r="D69" s="9">
        <f>SUM(D44:D68)+D41</f>
        <v>230853.43233333336</v>
      </c>
      <c r="E69" s="63">
        <f>SUM(E44:E68)+E41</f>
        <v>26581.979999999996</v>
      </c>
      <c r="F69" s="9">
        <f>SUM(F44:F68)+F41</f>
        <v>257435.41233333334</v>
      </c>
    </row>
    <row r="70" spans="1:6" x14ac:dyDescent="0.3">
      <c r="A70" s="26"/>
      <c r="B70" s="26"/>
      <c r="C70" s="41"/>
      <c r="D70" s="9"/>
    </row>
    <row r="71" spans="1:6" x14ac:dyDescent="0.3">
      <c r="A71" s="18" t="s">
        <v>49</v>
      </c>
      <c r="B71" s="18"/>
      <c r="C71" s="27"/>
      <c r="D71" s="9">
        <f>+D22-D69</f>
        <v>1417.5676666666404</v>
      </c>
      <c r="F71" s="9">
        <f>+F22-F69</f>
        <v>-12980.412333333341</v>
      </c>
    </row>
    <row r="72" spans="1:6" x14ac:dyDescent="0.3">
      <c r="B72" s="18"/>
      <c r="C72" s="52"/>
      <c r="D72" s="9"/>
    </row>
    <row r="73" spans="1:6" x14ac:dyDescent="0.3">
      <c r="B73" s="18"/>
      <c r="C73" s="18" t="s">
        <v>75</v>
      </c>
      <c r="D73" s="9">
        <f>+D9+D71</f>
        <v>91475.56766666664</v>
      </c>
      <c r="F73" s="9">
        <f>+F9+F71</f>
        <v>77077.587666666659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8C42-A1E7-E947-B72A-7AFB60F75141}">
  <dimension ref="A1:L43"/>
  <sheetViews>
    <sheetView workbookViewId="0">
      <selection activeCell="C25" sqref="C25"/>
    </sheetView>
  </sheetViews>
  <sheetFormatPr defaultColWidth="10.90625" defaultRowHeight="12.5" x14ac:dyDescent="0.25"/>
  <cols>
    <col min="1" max="1" width="18.81640625" customWidth="1"/>
    <col min="12" max="12" width="10.81640625" style="62"/>
  </cols>
  <sheetData>
    <row r="1" spans="1:12" x14ac:dyDescent="0.25">
      <c r="A1" t="s">
        <v>50</v>
      </c>
      <c r="G1" s="9"/>
    </row>
    <row r="2" spans="1:12" x14ac:dyDescent="0.25">
      <c r="G2" s="9"/>
    </row>
    <row r="3" spans="1:12" x14ac:dyDescent="0.25">
      <c r="A3" t="s">
        <v>51</v>
      </c>
      <c r="G3" s="9"/>
    </row>
    <row r="4" spans="1:12" x14ac:dyDescent="0.25">
      <c r="B4" t="s">
        <v>83</v>
      </c>
      <c r="C4" t="s">
        <v>65</v>
      </c>
      <c r="D4" t="s">
        <v>52</v>
      </c>
      <c r="F4" t="s">
        <v>53</v>
      </c>
      <c r="G4" s="9" t="s">
        <v>54</v>
      </c>
    </row>
    <row r="5" spans="1:12" x14ac:dyDescent="0.25">
      <c r="A5" t="s">
        <v>104</v>
      </c>
      <c r="B5" s="9">
        <f>6.5*I5</f>
        <v>28121.73</v>
      </c>
      <c r="C5" s="9">
        <v>51917</v>
      </c>
      <c r="F5">
        <v>239</v>
      </c>
      <c r="G5" s="9">
        <v>239</v>
      </c>
      <c r="I5">
        <f>ROUND(51917/12,2)</f>
        <v>4326.42</v>
      </c>
      <c r="J5" t="s">
        <v>105</v>
      </c>
      <c r="L5" s="62">
        <f>11*I5</f>
        <v>47590.62</v>
      </c>
    </row>
    <row r="6" spans="1:12" x14ac:dyDescent="0.25">
      <c r="A6" t="s">
        <v>106</v>
      </c>
      <c r="B6" s="61">
        <f>ROUND(4.5*I6,2)</f>
        <v>23812.52</v>
      </c>
      <c r="G6" s="9"/>
      <c r="I6">
        <f>ROUND(63500/12,2)</f>
        <v>5291.67</v>
      </c>
      <c r="L6" s="62">
        <f>3.5*I6</f>
        <v>18520.845000000001</v>
      </c>
    </row>
    <row r="7" spans="1:12" x14ac:dyDescent="0.25">
      <c r="B7" s="9">
        <f>SUM(B5:B6)</f>
        <v>51934.25</v>
      </c>
      <c r="G7" s="9"/>
    </row>
    <row r="8" spans="1:12" x14ac:dyDescent="0.25">
      <c r="B8" s="9"/>
      <c r="G8" s="9"/>
      <c r="L8" s="62">
        <f>+B7-L5</f>
        <v>4343.6299999999974</v>
      </c>
    </row>
    <row r="9" spans="1:12" x14ac:dyDescent="0.25">
      <c r="A9" t="s">
        <v>56</v>
      </c>
      <c r="B9" s="9">
        <v>21840</v>
      </c>
      <c r="C9" s="9">
        <v>21632</v>
      </c>
      <c r="D9">
        <v>1671</v>
      </c>
      <c r="F9">
        <v>100</v>
      </c>
      <c r="G9" s="9">
        <v>1771</v>
      </c>
    </row>
    <row r="10" spans="1:12" x14ac:dyDescent="0.25">
      <c r="B10" s="9"/>
      <c r="G10" s="9"/>
    </row>
    <row r="11" spans="1:12" x14ac:dyDescent="0.25">
      <c r="A11" t="s">
        <v>57</v>
      </c>
      <c r="B11" s="9">
        <v>21840</v>
      </c>
      <c r="C11">
        <v>20800</v>
      </c>
      <c r="D11">
        <v>1671</v>
      </c>
      <c r="F11">
        <v>100</v>
      </c>
      <c r="G11" s="9">
        <v>1771</v>
      </c>
    </row>
    <row r="12" spans="1:12" x14ac:dyDescent="0.25">
      <c r="B12" s="9"/>
      <c r="G12" s="9"/>
    </row>
    <row r="13" spans="1:12" x14ac:dyDescent="0.25">
      <c r="A13" t="s">
        <v>97</v>
      </c>
      <c r="B13" s="9">
        <v>6240</v>
      </c>
      <c r="D13">
        <v>477</v>
      </c>
      <c r="F13">
        <v>29</v>
      </c>
      <c r="G13" s="9">
        <v>506</v>
      </c>
    </row>
    <row r="14" spans="1:12" x14ac:dyDescent="0.25">
      <c r="A14" t="s">
        <v>84</v>
      </c>
      <c r="B14" s="9">
        <v>43680</v>
      </c>
      <c r="D14" s="9">
        <v>3819</v>
      </c>
      <c r="F14" s="9">
        <v>468</v>
      </c>
      <c r="G14" s="9">
        <v>4287</v>
      </c>
    </row>
    <row r="15" spans="1:12" x14ac:dyDescent="0.25">
      <c r="B15" s="9"/>
      <c r="G15" s="9"/>
    </row>
    <row r="16" spans="1:12" x14ac:dyDescent="0.25">
      <c r="B16" s="9"/>
      <c r="G16" s="9"/>
    </row>
    <row r="17" spans="1:10" x14ac:dyDescent="0.25">
      <c r="A17" t="s">
        <v>90</v>
      </c>
      <c r="B17" s="9"/>
      <c r="G17" s="9"/>
    </row>
    <row r="18" spans="1:10" x14ac:dyDescent="0.25">
      <c r="A18" t="s">
        <v>96</v>
      </c>
      <c r="B18">
        <v>3058</v>
      </c>
      <c r="G18" s="9"/>
    </row>
    <row r="19" spans="1:10" x14ac:dyDescent="0.25">
      <c r="G19" s="9"/>
    </row>
    <row r="20" spans="1:10" x14ac:dyDescent="0.25">
      <c r="A20" t="s">
        <v>91</v>
      </c>
      <c r="B20" s="9">
        <v>96</v>
      </c>
      <c r="G20" s="9"/>
    </row>
    <row r="21" spans="1:10" x14ac:dyDescent="0.25">
      <c r="A21" t="s">
        <v>92</v>
      </c>
      <c r="B21" s="9">
        <v>209.66399999999999</v>
      </c>
      <c r="G21" s="9"/>
    </row>
    <row r="22" spans="1:10" x14ac:dyDescent="0.25">
      <c r="A22" t="s">
        <v>93</v>
      </c>
      <c r="B22" s="9">
        <v>305.66399999999999</v>
      </c>
      <c r="G22" s="9"/>
    </row>
    <row r="23" spans="1:10" x14ac:dyDescent="0.25">
      <c r="B23" s="9"/>
      <c r="G23" s="9"/>
    </row>
    <row r="24" spans="1:10" x14ac:dyDescent="0.25">
      <c r="A24" t="s">
        <v>62</v>
      </c>
      <c r="B24" s="9"/>
      <c r="G24" s="9"/>
    </row>
    <row r="25" spans="1:10" x14ac:dyDescent="0.25">
      <c r="A25" t="s">
        <v>63</v>
      </c>
      <c r="B25" s="8">
        <v>880</v>
      </c>
      <c r="C25" s="9">
        <f>+B25*11</f>
        <v>9680</v>
      </c>
      <c r="D25" t="s">
        <v>64</v>
      </c>
      <c r="G25" s="9"/>
    </row>
    <row r="26" spans="1:10" x14ac:dyDescent="0.25">
      <c r="A26" t="s">
        <v>107</v>
      </c>
      <c r="B26" s="9">
        <v>79</v>
      </c>
      <c r="C26" s="9">
        <f>+B26*4</f>
        <v>316</v>
      </c>
      <c r="G26" s="9"/>
    </row>
    <row r="27" spans="1:10" x14ac:dyDescent="0.25">
      <c r="G27" s="9"/>
    </row>
    <row r="28" spans="1:10" x14ac:dyDescent="0.25">
      <c r="A28" t="s">
        <v>55</v>
      </c>
      <c r="B28" s="10">
        <v>0.18</v>
      </c>
      <c r="C28" s="8">
        <f>18%*B7</f>
        <v>9348.1649999999991</v>
      </c>
      <c r="G28" s="9"/>
    </row>
    <row r="29" spans="1:10" x14ac:dyDescent="0.25">
      <c r="G29" s="9"/>
    </row>
    <row r="30" spans="1:10" x14ac:dyDescent="0.25">
      <c r="C30" s="9"/>
      <c r="D30" s="10"/>
      <c r="G30" s="9"/>
      <c r="J30" s="10"/>
    </row>
    <row r="32" spans="1:10" x14ac:dyDescent="0.25">
      <c r="A32" t="s">
        <v>66</v>
      </c>
      <c r="B32" s="10">
        <v>1.04</v>
      </c>
    </row>
    <row r="33" spans="1:3" x14ac:dyDescent="0.25">
      <c r="B33" s="10"/>
    </row>
    <row r="34" spans="1:3" x14ac:dyDescent="0.25">
      <c r="A34" t="s">
        <v>58</v>
      </c>
      <c r="B34" s="9"/>
    </row>
    <row r="35" spans="1:3" x14ac:dyDescent="0.25">
      <c r="B35" s="9"/>
    </row>
    <row r="36" spans="1:3" x14ac:dyDescent="0.25">
      <c r="A36" t="s">
        <v>59</v>
      </c>
      <c r="B36" s="9">
        <v>21</v>
      </c>
    </row>
    <row r="37" spans="1:3" x14ac:dyDescent="0.25">
      <c r="A37" t="s">
        <v>60</v>
      </c>
      <c r="B37" s="9">
        <v>20</v>
      </c>
    </row>
    <row r="38" spans="1:3" x14ac:dyDescent="0.25">
      <c r="A38" t="s">
        <v>61</v>
      </c>
      <c r="B38" s="9">
        <v>21840</v>
      </c>
    </row>
    <row r="40" spans="1:3" x14ac:dyDescent="0.25">
      <c r="A40" t="s">
        <v>87</v>
      </c>
      <c r="B40">
        <v>30</v>
      </c>
      <c r="C40" t="s">
        <v>85</v>
      </c>
    </row>
    <row r="41" spans="1:3" x14ac:dyDescent="0.25">
      <c r="B41" s="9">
        <v>8</v>
      </c>
      <c r="C41" t="s">
        <v>86</v>
      </c>
    </row>
    <row r="42" spans="1:3" x14ac:dyDescent="0.25">
      <c r="B42" s="9">
        <v>26</v>
      </c>
      <c r="C42" t="s">
        <v>88</v>
      </c>
    </row>
    <row r="43" spans="1:3" x14ac:dyDescent="0.25">
      <c r="B43">
        <v>6240</v>
      </c>
      <c r="C4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zoomScale="143" zoomScaleNormal="130" workbookViewId="0">
      <selection activeCell="D24" sqref="D24"/>
    </sheetView>
  </sheetViews>
  <sheetFormatPr defaultColWidth="10.81640625" defaultRowHeight="13" x14ac:dyDescent="0.3"/>
  <cols>
    <col min="1" max="1" width="3" style="18" customWidth="1"/>
    <col min="2" max="2" width="2.453125" style="18" customWidth="1"/>
    <col min="3" max="3" width="26.453125" style="36" customWidth="1"/>
    <col min="4" max="5" width="13" style="37" customWidth="1"/>
    <col min="6" max="6" width="12.36328125" style="21" customWidth="1"/>
    <col min="7" max="16384" width="10.81640625" style="36"/>
  </cols>
  <sheetData>
    <row r="1" spans="1:9" ht="14" customHeight="1" x14ac:dyDescent="0.3">
      <c r="A1" s="18" t="s">
        <v>47</v>
      </c>
    </row>
    <row r="2" spans="1:9" x14ac:dyDescent="0.3">
      <c r="A2" s="18" t="s">
        <v>98</v>
      </c>
    </row>
    <row r="3" spans="1:9" x14ac:dyDescent="0.3">
      <c r="A3" s="18" t="s">
        <v>99</v>
      </c>
    </row>
    <row r="5" spans="1:9" ht="32" customHeight="1" x14ac:dyDescent="0.3">
      <c r="C5" s="38"/>
      <c r="D5" s="32" t="s">
        <v>79</v>
      </c>
      <c r="E5" s="32" t="s">
        <v>78</v>
      </c>
      <c r="F5" s="20" t="s">
        <v>77</v>
      </c>
    </row>
    <row r="6" spans="1:9" ht="13" customHeight="1" x14ac:dyDescent="0.3">
      <c r="C6" s="38"/>
      <c r="D6" s="39"/>
      <c r="E6" s="39"/>
      <c r="F6" s="30"/>
    </row>
    <row r="7" spans="1:9" s="40" customFormat="1" ht="13" customHeight="1" x14ac:dyDescent="0.3">
      <c r="A7" s="26"/>
      <c r="B7" s="26"/>
      <c r="C7" s="31" t="s">
        <v>74</v>
      </c>
      <c r="D7" s="39"/>
      <c r="E7" s="39"/>
      <c r="F7" s="30">
        <v>90058</v>
      </c>
    </row>
    <row r="8" spans="1:9" ht="13" customHeight="1" x14ac:dyDescent="0.3">
      <c r="A8" s="18" t="s">
        <v>0</v>
      </c>
      <c r="C8" s="41"/>
      <c r="D8" s="42"/>
      <c r="E8" s="42"/>
    </row>
    <row r="9" spans="1:9" ht="13" customHeight="1" x14ac:dyDescent="0.3">
      <c r="C9" s="35" t="s">
        <v>2</v>
      </c>
      <c r="D9" s="43">
        <v>134090.46</v>
      </c>
      <c r="E9" s="43">
        <v>158000</v>
      </c>
      <c r="F9" s="21">
        <v>157164</v>
      </c>
      <c r="H9" s="34"/>
      <c r="I9" s="43"/>
    </row>
    <row r="10" spans="1:9" ht="13" customHeight="1" x14ac:dyDescent="0.3">
      <c r="C10" s="35" t="s">
        <v>3</v>
      </c>
      <c r="D10" s="43">
        <v>1375.65</v>
      </c>
      <c r="E10" s="43">
        <v>7000</v>
      </c>
      <c r="F10" s="21">
        <v>1000</v>
      </c>
      <c r="I10" s="43"/>
    </row>
    <row r="11" spans="1:9" ht="13" customHeight="1" x14ac:dyDescent="0.3">
      <c r="C11" s="35" t="s">
        <v>4</v>
      </c>
      <c r="D11" s="43">
        <v>3544.92</v>
      </c>
      <c r="E11" s="43">
        <v>0</v>
      </c>
      <c r="F11" s="21">
        <v>3500</v>
      </c>
      <c r="H11" s="34"/>
      <c r="I11" s="43"/>
    </row>
    <row r="12" spans="1:9" ht="13" customHeight="1" x14ac:dyDescent="0.3">
      <c r="C12" s="35" t="s">
        <v>5</v>
      </c>
      <c r="D12" s="43">
        <v>16738.240000000002</v>
      </c>
      <c r="E12" s="43">
        <v>24000</v>
      </c>
      <c r="F12" s="21">
        <v>10000</v>
      </c>
      <c r="H12" s="34"/>
      <c r="I12" s="43"/>
    </row>
    <row r="13" spans="1:9" ht="13" customHeight="1" x14ac:dyDescent="0.3">
      <c r="C13" s="35" t="s">
        <v>6</v>
      </c>
      <c r="D13" s="43">
        <v>6280.4</v>
      </c>
      <c r="E13" s="43">
        <v>6000</v>
      </c>
      <c r="F13" s="21">
        <v>6300</v>
      </c>
      <c r="H13" s="34"/>
      <c r="I13" s="43"/>
    </row>
    <row r="14" spans="1:9" ht="13" customHeight="1" x14ac:dyDescent="0.3">
      <c r="C14" s="35" t="s">
        <v>7</v>
      </c>
      <c r="D14" s="43">
        <v>39912.36</v>
      </c>
      <c r="E14" s="43">
        <v>20000</v>
      </c>
      <c r="F14" s="21">
        <v>20000</v>
      </c>
      <c r="I14" s="43"/>
    </row>
    <row r="15" spans="1:9" ht="13" customHeight="1" x14ac:dyDescent="0.3">
      <c r="C15" s="35" t="s">
        <v>8</v>
      </c>
      <c r="D15" s="43">
        <v>12565</v>
      </c>
      <c r="E15" s="43">
        <v>5000</v>
      </c>
      <c r="F15" s="21">
        <v>12000</v>
      </c>
      <c r="H15" s="34"/>
      <c r="I15" s="43"/>
    </row>
    <row r="16" spans="1:9" ht="13" customHeight="1" x14ac:dyDescent="0.3">
      <c r="C16" s="35" t="s">
        <v>9</v>
      </c>
      <c r="D16" s="43">
        <v>6999.99</v>
      </c>
      <c r="E16" s="44"/>
      <c r="H16" s="34"/>
      <c r="I16" s="43"/>
    </row>
    <row r="17" spans="1:10" ht="13" customHeight="1" x14ac:dyDescent="0.3">
      <c r="C17" s="35" t="s">
        <v>10</v>
      </c>
      <c r="D17" s="43">
        <v>47.74</v>
      </c>
      <c r="E17" s="44"/>
      <c r="F17" s="21">
        <v>50</v>
      </c>
      <c r="H17" s="34"/>
      <c r="I17" s="43"/>
    </row>
    <row r="18" spans="1:10" ht="13" customHeight="1" x14ac:dyDescent="0.3">
      <c r="C18" s="35" t="s">
        <v>94</v>
      </c>
      <c r="D18" s="43"/>
      <c r="E18" s="44"/>
      <c r="F18" s="21">
        <v>19257</v>
      </c>
      <c r="H18" s="34"/>
      <c r="I18" s="43"/>
    </row>
    <row r="19" spans="1:10" ht="13" customHeight="1" x14ac:dyDescent="0.3">
      <c r="C19" s="35" t="s">
        <v>73</v>
      </c>
      <c r="D19" s="45">
        <v>2900</v>
      </c>
      <c r="E19" s="45">
        <v>2900</v>
      </c>
      <c r="F19" s="22">
        <v>3000</v>
      </c>
    </row>
    <row r="20" spans="1:10" ht="13" customHeight="1" x14ac:dyDescent="0.3">
      <c r="A20" s="18" t="s">
        <v>48</v>
      </c>
      <c r="C20" s="46"/>
      <c r="D20" s="37">
        <f>SUM(D9:D19)</f>
        <v>224454.75999999995</v>
      </c>
      <c r="E20" s="44">
        <f>SUM(E9:E19)</f>
        <v>222900</v>
      </c>
      <c r="F20" s="21">
        <f>SUM(F9:F19)</f>
        <v>232271</v>
      </c>
      <c r="I20" s="58"/>
    </row>
    <row r="21" spans="1:10" ht="13" customHeight="1" x14ac:dyDescent="0.3">
      <c r="C21" s="41"/>
      <c r="E21" s="44"/>
    </row>
    <row r="22" spans="1:10" ht="13" customHeight="1" x14ac:dyDescent="0.3">
      <c r="A22" s="18" t="s">
        <v>1</v>
      </c>
      <c r="C22" s="41"/>
      <c r="E22" s="44"/>
    </row>
    <row r="23" spans="1:10" ht="13" customHeight="1" x14ac:dyDescent="0.3">
      <c r="B23" s="18" t="s">
        <v>67</v>
      </c>
      <c r="C23" s="41"/>
      <c r="E23" s="44"/>
    </row>
    <row r="24" spans="1:10" ht="13" customHeight="1" x14ac:dyDescent="0.3">
      <c r="C24" s="35" t="s">
        <v>11</v>
      </c>
      <c r="D24" s="43">
        <v>41100.99</v>
      </c>
      <c r="E24" s="43">
        <v>51917</v>
      </c>
      <c r="F24" s="21">
        <f>51917*11/12</f>
        <v>47590.583333333336</v>
      </c>
      <c r="G24" s="36" t="s">
        <v>100</v>
      </c>
    </row>
    <row r="25" spans="1:10" ht="13" customHeight="1" x14ac:dyDescent="0.3">
      <c r="C25" s="35" t="s">
        <v>12</v>
      </c>
      <c r="D25" s="43">
        <v>20800</v>
      </c>
      <c r="E25" s="43">
        <v>21632</v>
      </c>
      <c r="F25" s="21">
        <f>Personnel!B7</f>
        <v>21840</v>
      </c>
      <c r="G25" s="47"/>
    </row>
    <row r="26" spans="1:10" ht="13" customHeight="1" x14ac:dyDescent="0.3">
      <c r="C26" s="35" t="s">
        <v>13</v>
      </c>
      <c r="D26" s="43">
        <v>20080</v>
      </c>
      <c r="E26" s="43">
        <v>20800</v>
      </c>
      <c r="F26" s="21">
        <v>21840</v>
      </c>
    </row>
    <row r="27" spans="1:10" ht="13" customHeight="1" x14ac:dyDescent="0.3">
      <c r="C27" s="35" t="s">
        <v>14</v>
      </c>
      <c r="D27" s="43">
        <v>5736.14</v>
      </c>
      <c r="E27" s="43">
        <v>7000</v>
      </c>
      <c r="F27" s="21">
        <v>7000</v>
      </c>
    </row>
    <row r="28" spans="1:10" ht="13" customHeight="1" x14ac:dyDescent="0.3">
      <c r="C28" s="35" t="s">
        <v>82</v>
      </c>
      <c r="D28" s="43">
        <v>4590</v>
      </c>
      <c r="E28" s="43">
        <v>0</v>
      </c>
      <c r="F28" s="21">
        <f>+Personnel!B11</f>
        <v>6240</v>
      </c>
    </row>
    <row r="29" spans="1:10" ht="13" customHeight="1" x14ac:dyDescent="0.3">
      <c r="C29" s="35" t="s">
        <v>15</v>
      </c>
      <c r="D29" s="43">
        <v>0</v>
      </c>
      <c r="E29" s="43">
        <v>1000</v>
      </c>
      <c r="F29" s="21">
        <v>1000</v>
      </c>
      <c r="J29" s="60"/>
    </row>
    <row r="30" spans="1:10" ht="13" customHeight="1" x14ac:dyDescent="0.3">
      <c r="C30" s="35" t="s">
        <v>16</v>
      </c>
      <c r="D30" s="43">
        <v>1175</v>
      </c>
      <c r="E30" s="43">
        <v>4700</v>
      </c>
      <c r="F30" s="21">
        <v>2000</v>
      </c>
    </row>
    <row r="31" spans="1:10" ht="13" customHeight="1" x14ac:dyDescent="0.3">
      <c r="C31" s="35" t="s">
        <v>17</v>
      </c>
      <c r="D31" s="43">
        <v>6240</v>
      </c>
      <c r="E31" s="43">
        <v>467</v>
      </c>
      <c r="F31" s="21">
        <f>Personnel!C23*9/12</f>
        <v>5282.88</v>
      </c>
    </row>
    <row r="32" spans="1:10" ht="13" customHeight="1" x14ac:dyDescent="0.3">
      <c r="C32" s="35" t="s">
        <v>18</v>
      </c>
      <c r="D32" s="43">
        <v>3425.28</v>
      </c>
      <c r="E32" s="43">
        <v>382</v>
      </c>
      <c r="F32" s="21">
        <f>+Personnel!B20</f>
        <v>305.66399999999999</v>
      </c>
    </row>
    <row r="33" spans="2:7" ht="13" customHeight="1" x14ac:dyDescent="0.3">
      <c r="C33" s="35" t="s">
        <v>19</v>
      </c>
      <c r="D33" s="43">
        <v>5990.4</v>
      </c>
      <c r="E33" s="43">
        <v>9485</v>
      </c>
      <c r="F33" s="21">
        <f>F24*0.18</f>
        <v>8566.3050000000003</v>
      </c>
    </row>
    <row r="34" spans="2:7" ht="13" customHeight="1" x14ac:dyDescent="0.3">
      <c r="C34" s="35" t="s">
        <v>20</v>
      </c>
      <c r="D34" s="43">
        <v>0</v>
      </c>
      <c r="E34" s="43">
        <v>1947</v>
      </c>
      <c r="F34" s="21">
        <f>+Personnel!B16</f>
        <v>3058</v>
      </c>
    </row>
    <row r="35" spans="2:7" ht="13" customHeight="1" x14ac:dyDescent="0.3">
      <c r="C35" s="35" t="s">
        <v>21</v>
      </c>
      <c r="D35" s="43">
        <v>3478.43</v>
      </c>
      <c r="E35" s="43">
        <v>3246</v>
      </c>
      <c r="F35" s="21">
        <f>+Personnel!G12</f>
        <v>4287</v>
      </c>
    </row>
    <row r="36" spans="2:7" ht="13" customHeight="1" x14ac:dyDescent="0.3">
      <c r="C36" s="35" t="s">
        <v>22</v>
      </c>
      <c r="D36" s="43">
        <v>529</v>
      </c>
      <c r="E36" s="43">
        <v>300</v>
      </c>
      <c r="F36" s="21">
        <v>530</v>
      </c>
    </row>
    <row r="37" spans="2:7" ht="13" customHeight="1" x14ac:dyDescent="0.3">
      <c r="C37" s="35" t="s">
        <v>23</v>
      </c>
      <c r="D37" s="43">
        <v>0</v>
      </c>
      <c r="E37" s="43">
        <v>1000</v>
      </c>
      <c r="F37" s="21">
        <v>700</v>
      </c>
    </row>
    <row r="38" spans="2:7" ht="13" customHeight="1" x14ac:dyDescent="0.3">
      <c r="C38" s="35" t="s">
        <v>24</v>
      </c>
      <c r="D38" s="43">
        <v>483</v>
      </c>
      <c r="E38" s="43">
        <v>504</v>
      </c>
      <c r="F38" s="22">
        <f>24*14+12*14+10*7</f>
        <v>574</v>
      </c>
    </row>
    <row r="39" spans="2:7" ht="13" customHeight="1" x14ac:dyDescent="0.3">
      <c r="B39" s="18" t="s">
        <v>68</v>
      </c>
      <c r="C39" s="35"/>
      <c r="D39" s="48">
        <f>SUM(D24:D38)</f>
        <v>113628.23999999998</v>
      </c>
      <c r="E39" s="48">
        <f>SUM(E24:E38)</f>
        <v>124380</v>
      </c>
      <c r="F39" s="23">
        <f>SUM(F24:F38)</f>
        <v>130814.43233333336</v>
      </c>
      <c r="G39" s="57"/>
    </row>
    <row r="40" spans="2:7" ht="13" customHeight="1" x14ac:dyDescent="0.3">
      <c r="B40" s="18" t="s">
        <v>69</v>
      </c>
      <c r="C40" s="35"/>
      <c r="E40" s="49">
        <f>+E39/E66</f>
        <v>0.52282032097250131</v>
      </c>
      <c r="F40" s="24">
        <f>+F39/F66</f>
        <v>0.56665578246394921</v>
      </c>
    </row>
    <row r="41" spans="2:7" ht="13" customHeight="1" x14ac:dyDescent="0.3">
      <c r="C41" s="35"/>
      <c r="E41" s="49"/>
      <c r="F41" s="24"/>
    </row>
    <row r="42" spans="2:7" ht="13" customHeight="1" x14ac:dyDescent="0.3">
      <c r="C42" s="35" t="s">
        <v>25</v>
      </c>
      <c r="D42" s="43">
        <v>1596.65</v>
      </c>
      <c r="E42" s="43">
        <v>1600</v>
      </c>
      <c r="F42" s="21">
        <v>1300</v>
      </c>
      <c r="G42" s="50" t="s">
        <v>70</v>
      </c>
    </row>
    <row r="43" spans="2:7" ht="13" customHeight="1" x14ac:dyDescent="0.3">
      <c r="C43" s="35" t="s">
        <v>26</v>
      </c>
      <c r="D43" s="43">
        <v>45</v>
      </c>
      <c r="E43" s="43">
        <v>50</v>
      </c>
      <c r="F43" s="21">
        <v>50</v>
      </c>
    </row>
    <row r="44" spans="2:7" ht="13" customHeight="1" x14ac:dyDescent="0.3">
      <c r="C44" s="35" t="s">
        <v>27</v>
      </c>
      <c r="D44" s="43">
        <v>4941.74</v>
      </c>
      <c r="E44" s="43">
        <v>11100</v>
      </c>
      <c r="F44" s="21">
        <v>7000</v>
      </c>
    </row>
    <row r="45" spans="2:7" ht="13" customHeight="1" x14ac:dyDescent="0.3">
      <c r="C45" s="35" t="s">
        <v>28</v>
      </c>
      <c r="D45" s="43">
        <v>1793.64</v>
      </c>
      <c r="E45" s="43">
        <v>1450</v>
      </c>
      <c r="F45" s="21">
        <v>1800</v>
      </c>
    </row>
    <row r="46" spans="2:7" ht="13" customHeight="1" x14ac:dyDescent="0.3">
      <c r="C46" s="35" t="s">
        <v>80</v>
      </c>
      <c r="D46" s="43">
        <v>3392.43</v>
      </c>
      <c r="E46" s="43">
        <v>0</v>
      </c>
      <c r="F46" s="21">
        <v>1000</v>
      </c>
      <c r="G46" s="50"/>
    </row>
    <row r="47" spans="2:7" ht="13" customHeight="1" x14ac:dyDescent="0.3">
      <c r="C47" s="35" t="s">
        <v>29</v>
      </c>
      <c r="D47" s="43">
        <v>3763.88</v>
      </c>
      <c r="E47" s="43">
        <v>3800</v>
      </c>
      <c r="F47" s="21">
        <v>3800</v>
      </c>
    </row>
    <row r="48" spans="2:7" ht="13" customHeight="1" x14ac:dyDescent="0.3">
      <c r="C48" s="35" t="s">
        <v>30</v>
      </c>
      <c r="D48" s="43">
        <v>17997</v>
      </c>
      <c r="E48" s="43">
        <v>16755</v>
      </c>
      <c r="F48" s="21">
        <v>18000</v>
      </c>
    </row>
    <row r="49" spans="3:6" ht="13" customHeight="1" x14ac:dyDescent="0.3">
      <c r="C49" s="35" t="s">
        <v>31</v>
      </c>
      <c r="D49" s="43">
        <v>169.05</v>
      </c>
      <c r="E49" s="43">
        <v>1000</v>
      </c>
      <c r="F49" s="21">
        <v>500</v>
      </c>
    </row>
    <row r="50" spans="3:6" ht="13" customHeight="1" x14ac:dyDescent="0.3">
      <c r="C50" s="35" t="s">
        <v>32</v>
      </c>
      <c r="D50" s="43">
        <v>165.05</v>
      </c>
      <c r="E50" s="43">
        <v>200</v>
      </c>
      <c r="F50" s="21">
        <v>200</v>
      </c>
    </row>
    <row r="51" spans="3:6" ht="13" customHeight="1" x14ac:dyDescent="0.3">
      <c r="C51" s="35" t="s">
        <v>33</v>
      </c>
      <c r="D51" s="43">
        <v>101.77</v>
      </c>
      <c r="E51" s="43">
        <v>700</v>
      </c>
      <c r="F51" s="21">
        <v>100</v>
      </c>
    </row>
    <row r="52" spans="3:6" ht="13" customHeight="1" x14ac:dyDescent="0.3">
      <c r="C52" s="35" t="s">
        <v>34</v>
      </c>
      <c r="D52" s="43">
        <v>1190</v>
      </c>
      <c r="E52" s="43">
        <v>2200</v>
      </c>
      <c r="F52" s="21">
        <v>1200</v>
      </c>
    </row>
    <row r="53" spans="3:6" ht="13" customHeight="1" x14ac:dyDescent="0.3">
      <c r="C53" s="35" t="s">
        <v>35</v>
      </c>
      <c r="D53" s="43">
        <v>2169.77</v>
      </c>
      <c r="E53" s="43">
        <v>7700</v>
      </c>
      <c r="F53" s="21">
        <v>5000</v>
      </c>
    </row>
    <row r="54" spans="3:6" ht="13" customHeight="1" x14ac:dyDescent="0.3">
      <c r="C54" s="35" t="s">
        <v>36</v>
      </c>
      <c r="D54" s="43">
        <v>156</v>
      </c>
      <c r="E54" s="43">
        <v>200</v>
      </c>
      <c r="F54" s="21">
        <v>200</v>
      </c>
    </row>
    <row r="55" spans="3:6" ht="13" customHeight="1" x14ac:dyDescent="0.3">
      <c r="C55" s="35" t="s">
        <v>37</v>
      </c>
      <c r="D55" s="43">
        <v>2970.39</v>
      </c>
      <c r="E55" s="43">
        <v>4000</v>
      </c>
      <c r="F55" s="21">
        <v>3500</v>
      </c>
    </row>
    <row r="56" spans="3:6" ht="13" customHeight="1" x14ac:dyDescent="0.3">
      <c r="C56" s="35" t="s">
        <v>38</v>
      </c>
      <c r="D56" s="43">
        <v>23466.720000000001</v>
      </c>
      <c r="E56" s="43">
        <v>27000</v>
      </c>
      <c r="F56" s="21">
        <v>19000</v>
      </c>
    </row>
    <row r="57" spans="3:6" ht="13" customHeight="1" x14ac:dyDescent="0.3">
      <c r="C57" s="35" t="s">
        <v>39</v>
      </c>
      <c r="D57" s="43">
        <v>1310.96</v>
      </c>
      <c r="E57" s="43">
        <v>2100</v>
      </c>
      <c r="F57" s="21">
        <v>2000</v>
      </c>
    </row>
    <row r="58" spans="3:6" ht="13" customHeight="1" x14ac:dyDescent="0.3">
      <c r="C58" s="35" t="s">
        <v>40</v>
      </c>
      <c r="D58" s="43">
        <v>423.74</v>
      </c>
      <c r="E58" s="43">
        <v>1400</v>
      </c>
      <c r="F58" s="21">
        <v>600</v>
      </c>
    </row>
    <row r="59" spans="3:6" ht="13" customHeight="1" x14ac:dyDescent="0.3">
      <c r="C59" s="35" t="s">
        <v>41</v>
      </c>
      <c r="D59" s="43">
        <v>3588.35</v>
      </c>
      <c r="E59" s="43">
        <v>5000</v>
      </c>
      <c r="F59" s="21">
        <v>3000</v>
      </c>
    </row>
    <row r="60" spans="3:6" ht="13" customHeight="1" x14ac:dyDescent="0.3">
      <c r="C60" s="35" t="s">
        <v>42</v>
      </c>
      <c r="D60" s="43">
        <v>0</v>
      </c>
      <c r="E60" s="43">
        <v>500</v>
      </c>
      <c r="F60" s="21">
        <v>100</v>
      </c>
    </row>
    <row r="61" spans="3:6" ht="13" customHeight="1" x14ac:dyDescent="0.3">
      <c r="C61" s="35" t="s">
        <v>43</v>
      </c>
      <c r="D61" s="43">
        <v>24157.08</v>
      </c>
      <c r="E61" s="43">
        <v>24517</v>
      </c>
      <c r="F61" s="21">
        <v>29439</v>
      </c>
    </row>
    <row r="62" spans="3:6" ht="13" customHeight="1" x14ac:dyDescent="0.3">
      <c r="C62" s="35" t="s">
        <v>44</v>
      </c>
      <c r="D62" s="43">
        <v>0</v>
      </c>
      <c r="E62" s="43">
        <v>500</v>
      </c>
      <c r="F62" s="21">
        <v>500</v>
      </c>
    </row>
    <row r="63" spans="3:6" ht="13" customHeight="1" x14ac:dyDescent="0.3">
      <c r="C63" s="35" t="s">
        <v>45</v>
      </c>
      <c r="D63" s="43">
        <v>242</v>
      </c>
      <c r="E63" s="43">
        <v>250</v>
      </c>
      <c r="F63" s="21">
        <v>250</v>
      </c>
    </row>
    <row r="64" spans="3:6" ht="13" customHeight="1" x14ac:dyDescent="0.3">
      <c r="C64" s="35" t="s">
        <v>46</v>
      </c>
      <c r="D64" s="43">
        <v>300</v>
      </c>
      <c r="E64" s="43">
        <v>1500</v>
      </c>
      <c r="F64" s="21">
        <v>1500</v>
      </c>
    </row>
    <row r="65" spans="1:8" ht="13" customHeight="1" x14ac:dyDescent="0.3">
      <c r="C65" s="34" t="s">
        <v>81</v>
      </c>
      <c r="D65" s="43">
        <v>100</v>
      </c>
      <c r="E65" s="43"/>
      <c r="F65" s="22"/>
    </row>
    <row r="66" spans="1:8" ht="13" customHeight="1" x14ac:dyDescent="0.3">
      <c r="A66" s="18" t="s">
        <v>72</v>
      </c>
      <c r="C66" s="35"/>
      <c r="D66" s="28">
        <f>D39+SUM(D42:D65)</f>
        <v>207669.45999999996</v>
      </c>
      <c r="E66" s="28">
        <f>E39+SUM(E42:E65)</f>
        <v>237902</v>
      </c>
      <c r="F66" s="29">
        <f>+F39+SUM(F42:F65)</f>
        <v>230853.43233333336</v>
      </c>
      <c r="G66" s="57"/>
    </row>
    <row r="67" spans="1:8" ht="13" customHeight="1" x14ac:dyDescent="0.3">
      <c r="A67" s="26"/>
      <c r="B67" s="26"/>
      <c r="C67" s="41"/>
      <c r="E67" s="51"/>
    </row>
    <row r="68" spans="1:8" ht="13" customHeight="1" thickBot="1" x14ac:dyDescent="0.35">
      <c r="A68" s="18" t="s">
        <v>49</v>
      </c>
      <c r="C68" s="27"/>
      <c r="D68" s="59">
        <f>+D20-D66</f>
        <v>16785.299999999988</v>
      </c>
      <c r="E68" s="59">
        <f>+E20-E66</f>
        <v>-15002</v>
      </c>
      <c r="F68" s="25">
        <f>+F20-F66</f>
        <v>1417.5676666666404</v>
      </c>
      <c r="H68" s="36" t="s">
        <v>76</v>
      </c>
    </row>
    <row r="69" spans="1:8" ht="13.5" thickTop="1" x14ac:dyDescent="0.3">
      <c r="C69" s="52"/>
    </row>
    <row r="70" spans="1:8" x14ac:dyDescent="0.3">
      <c r="C70" s="18" t="s">
        <v>75</v>
      </c>
      <c r="F70" s="21">
        <f>F7+F68</f>
        <v>91475.56766666664</v>
      </c>
    </row>
    <row r="72" spans="1:8" x14ac:dyDescent="0.3">
      <c r="B72" s="19" t="s">
        <v>70</v>
      </c>
      <c r="C72" s="36" t="s">
        <v>95</v>
      </c>
    </row>
    <row r="73" spans="1:8" x14ac:dyDescent="0.3">
      <c r="C73" s="36" t="s">
        <v>71</v>
      </c>
    </row>
  </sheetData>
  <pageMargins left="0.75" right="0.75" top="1" bottom="1" header="0.5" footer="0.5"/>
  <pageSetup orientation="portrait" horizontalDpi="0" verticalDpi="0" copies="1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="120" zoomScaleNormal="120" workbookViewId="0">
      <selection activeCell="E23" sqref="E23"/>
    </sheetView>
  </sheetViews>
  <sheetFormatPr defaultColWidth="10.90625" defaultRowHeight="12.5" x14ac:dyDescent="0.25"/>
  <cols>
    <col min="1" max="1" width="28" bestFit="1" customWidth="1"/>
    <col min="2" max="2" width="12.1796875" bestFit="1" customWidth="1"/>
  </cols>
  <sheetData>
    <row r="1" spans="1:10" x14ac:dyDescent="0.25">
      <c r="A1" t="s">
        <v>50</v>
      </c>
      <c r="G1" s="2"/>
    </row>
    <row r="2" spans="1:10" x14ac:dyDescent="0.25">
      <c r="G2" s="2"/>
    </row>
    <row r="3" spans="1:10" x14ac:dyDescent="0.25">
      <c r="A3" t="s">
        <v>51</v>
      </c>
      <c r="G3" s="2"/>
      <c r="J3" s="3"/>
    </row>
    <row r="4" spans="1:10" x14ac:dyDescent="0.25">
      <c r="B4" s="36" t="s">
        <v>83</v>
      </c>
      <c r="C4" s="1" t="s">
        <v>65</v>
      </c>
      <c r="D4" s="4" t="s">
        <v>52</v>
      </c>
      <c r="F4" s="4" t="s">
        <v>53</v>
      </c>
      <c r="G4" s="2" t="s">
        <v>54</v>
      </c>
      <c r="J4" s="13"/>
    </row>
    <row r="5" spans="1:10" ht="13" thickBot="1" x14ac:dyDescent="0.3">
      <c r="A5" s="3" t="s">
        <v>104</v>
      </c>
      <c r="B5" s="15">
        <v>51917</v>
      </c>
      <c r="C5" s="5">
        <v>51917</v>
      </c>
      <c r="D5" s="6"/>
      <c r="E5" s="6"/>
      <c r="F5" s="6">
        <f>ROUND(0.46%*B5,0)</f>
        <v>239</v>
      </c>
      <c r="G5" s="7">
        <f>SUM(D5:F5)</f>
        <v>239</v>
      </c>
    </row>
    <row r="6" spans="1:10" ht="13" thickTop="1" x14ac:dyDescent="0.25">
      <c r="A6" s="3"/>
      <c r="B6" s="15"/>
      <c r="G6" s="2"/>
    </row>
    <row r="7" spans="1:10" x14ac:dyDescent="0.25">
      <c r="A7" s="3" t="s">
        <v>56</v>
      </c>
      <c r="B7" s="15">
        <f>+B36</f>
        <v>21840</v>
      </c>
      <c r="C7" s="9">
        <v>21632</v>
      </c>
      <c r="D7">
        <f>ROUND(0.0765*B7,0)</f>
        <v>1671</v>
      </c>
      <c r="F7">
        <f>ROUND(0.46%*B7,0)</f>
        <v>100</v>
      </c>
      <c r="G7" s="2">
        <f>SUM(D7:F7)</f>
        <v>1771</v>
      </c>
    </row>
    <row r="8" spans="1:10" x14ac:dyDescent="0.25">
      <c r="A8" s="3"/>
      <c r="B8" s="15"/>
      <c r="G8" s="2"/>
    </row>
    <row r="9" spans="1:10" x14ac:dyDescent="0.25">
      <c r="A9" s="3" t="s">
        <v>57</v>
      </c>
      <c r="B9" s="15">
        <v>21840</v>
      </c>
      <c r="C9">
        <v>20800</v>
      </c>
      <c r="D9">
        <f>ROUND(0.0765*B9,0)</f>
        <v>1671</v>
      </c>
      <c r="F9">
        <f>ROUND(0.46%*B9,0)</f>
        <v>100</v>
      </c>
      <c r="G9" s="2">
        <f>SUM(D9:F9)</f>
        <v>1771</v>
      </c>
    </row>
    <row r="10" spans="1:10" x14ac:dyDescent="0.25">
      <c r="A10" s="3"/>
      <c r="B10" s="15"/>
      <c r="G10" s="2"/>
    </row>
    <row r="11" spans="1:10" x14ac:dyDescent="0.25">
      <c r="A11" s="33" t="s">
        <v>97</v>
      </c>
      <c r="B11" s="15">
        <f>+B41</f>
        <v>6240</v>
      </c>
      <c r="D11">
        <f>ROUND(0.0765*B11,0)</f>
        <v>477</v>
      </c>
      <c r="F11">
        <f>ROUND(0.46%*B11,0)</f>
        <v>29</v>
      </c>
      <c r="G11" s="2">
        <f>SUM(D11:F11)</f>
        <v>506</v>
      </c>
    </row>
    <row r="12" spans="1:10" ht="13" thickBot="1" x14ac:dyDescent="0.3">
      <c r="A12" s="53" t="s">
        <v>84</v>
      </c>
      <c r="B12" s="16">
        <f>SUM(B7:B9)</f>
        <v>43680</v>
      </c>
      <c r="C12" s="6"/>
      <c r="D12" s="7">
        <f>SUM(D7:D11)</f>
        <v>3819</v>
      </c>
      <c r="E12" s="6"/>
      <c r="F12" s="7">
        <f>SUM(F5:F11)</f>
        <v>468</v>
      </c>
      <c r="G12" s="7">
        <f>SUM(G5:G11)</f>
        <v>4287</v>
      </c>
    </row>
    <row r="13" spans="1:10" ht="13" thickTop="1" x14ac:dyDescent="0.25">
      <c r="A13" s="3"/>
      <c r="B13" s="15"/>
      <c r="G13" s="2"/>
    </row>
    <row r="14" spans="1:10" x14ac:dyDescent="0.25">
      <c r="A14" s="3"/>
      <c r="B14" s="15"/>
      <c r="G14" s="2"/>
    </row>
    <row r="15" spans="1:10" ht="13" x14ac:dyDescent="0.3">
      <c r="A15" s="54" t="s">
        <v>90</v>
      </c>
      <c r="B15" s="15"/>
      <c r="G15" s="2"/>
    </row>
    <row r="16" spans="1:10" x14ac:dyDescent="0.25">
      <c r="A16" s="33" t="s">
        <v>96</v>
      </c>
      <c r="B16">
        <f>ROUND(0.09*B7+B9*0.05,0)</f>
        <v>3058</v>
      </c>
      <c r="G16" s="2"/>
    </row>
    <row r="17" spans="1:10" x14ac:dyDescent="0.25">
      <c r="G17" s="2"/>
    </row>
    <row r="18" spans="1:10" x14ac:dyDescent="0.25">
      <c r="A18" s="33" t="s">
        <v>91</v>
      </c>
      <c r="B18" s="15">
        <f>48*2</f>
        <v>96</v>
      </c>
      <c r="G18" s="2"/>
    </row>
    <row r="19" spans="1:10" x14ac:dyDescent="0.25">
      <c r="A19" s="33" t="s">
        <v>92</v>
      </c>
      <c r="B19" s="56">
        <f>0.48%*(B7+B9)</f>
        <v>209.66399999999999</v>
      </c>
      <c r="G19" s="2"/>
    </row>
    <row r="20" spans="1:10" x14ac:dyDescent="0.25">
      <c r="A20" s="33" t="s">
        <v>93</v>
      </c>
      <c r="B20" s="15">
        <f>SUM(B18:B19)</f>
        <v>305.66399999999999</v>
      </c>
      <c r="G20" s="2"/>
    </row>
    <row r="21" spans="1:10" x14ac:dyDescent="0.25">
      <c r="A21" s="3"/>
      <c r="B21" s="15"/>
      <c r="G21" s="2"/>
    </row>
    <row r="22" spans="1:10" x14ac:dyDescent="0.25">
      <c r="A22" s="11" t="s">
        <v>62</v>
      </c>
      <c r="B22" s="17"/>
      <c r="G22" s="2"/>
    </row>
    <row r="23" spans="1:10" x14ac:dyDescent="0.25">
      <c r="A23" s="1" t="s">
        <v>63</v>
      </c>
      <c r="B23" s="14"/>
      <c r="C23" s="2">
        <f>8*880.48</f>
        <v>7043.84</v>
      </c>
      <c r="D23" s="1" t="s">
        <v>64</v>
      </c>
      <c r="G23" s="2"/>
    </row>
    <row r="24" spans="1:10" x14ac:dyDescent="0.25">
      <c r="C24" s="2"/>
      <c r="D24" s="1"/>
      <c r="G24" s="2"/>
    </row>
    <row r="25" spans="1:10" x14ac:dyDescent="0.25">
      <c r="G25" s="2"/>
    </row>
    <row r="26" spans="1:10" x14ac:dyDescent="0.25">
      <c r="A26" t="s">
        <v>55</v>
      </c>
      <c r="B26" s="10">
        <v>0.18</v>
      </c>
      <c r="C26" s="8">
        <f>+B5*B26</f>
        <v>9345.06</v>
      </c>
      <c r="G26" s="2"/>
      <c r="J26" s="1"/>
    </row>
    <row r="27" spans="1:10" x14ac:dyDescent="0.25">
      <c r="G27" s="2"/>
      <c r="J27" s="1"/>
    </row>
    <row r="28" spans="1:10" x14ac:dyDescent="0.25">
      <c r="C28" s="2"/>
      <c r="D28" s="12"/>
      <c r="G28" s="2"/>
      <c r="J28" s="12"/>
    </row>
    <row r="30" spans="1:10" x14ac:dyDescent="0.25">
      <c r="A30" s="1" t="s">
        <v>66</v>
      </c>
      <c r="B30" s="10">
        <v>1.04</v>
      </c>
    </row>
    <row r="31" spans="1:10" x14ac:dyDescent="0.25">
      <c r="A31" s="1"/>
      <c r="B31" s="10"/>
    </row>
    <row r="32" spans="1:10" ht="13" x14ac:dyDescent="0.3">
      <c r="A32" s="54" t="s">
        <v>58</v>
      </c>
      <c r="B32" s="2"/>
    </row>
    <row r="33" spans="1:3" x14ac:dyDescent="0.25">
      <c r="B33" s="2"/>
    </row>
    <row r="34" spans="1:3" x14ac:dyDescent="0.25">
      <c r="A34" t="s">
        <v>59</v>
      </c>
      <c r="B34" s="2">
        <v>21</v>
      </c>
    </row>
    <row r="35" spans="1:3" x14ac:dyDescent="0.25">
      <c r="A35" t="s">
        <v>60</v>
      </c>
      <c r="B35" s="2">
        <v>20</v>
      </c>
    </row>
    <row r="36" spans="1:3" x14ac:dyDescent="0.25">
      <c r="A36" t="s">
        <v>61</v>
      </c>
      <c r="B36" s="2">
        <f>B35*B34*52</f>
        <v>21840</v>
      </c>
    </row>
    <row r="38" spans="1:3" ht="13" x14ac:dyDescent="0.3">
      <c r="A38" s="18" t="s">
        <v>87</v>
      </c>
      <c r="B38">
        <v>30</v>
      </c>
      <c r="C38" s="36" t="s">
        <v>85</v>
      </c>
    </row>
    <row r="39" spans="1:3" x14ac:dyDescent="0.25">
      <c r="B39" s="2">
        <v>8</v>
      </c>
      <c r="C39" s="36" t="s">
        <v>86</v>
      </c>
    </row>
    <row r="40" spans="1:3" x14ac:dyDescent="0.25">
      <c r="B40" s="55">
        <v>26</v>
      </c>
      <c r="C40" s="36" t="s">
        <v>88</v>
      </c>
    </row>
    <row r="41" spans="1:3" x14ac:dyDescent="0.25">
      <c r="B41">
        <f>+B38*B39*B40</f>
        <v>6240</v>
      </c>
      <c r="C41" s="36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B31E-256D-8B4A-9EDE-E234E485B1F6}">
  <dimension ref="A1:E9"/>
  <sheetViews>
    <sheetView zoomScale="170" zoomScaleNormal="170" workbookViewId="0">
      <selection activeCell="E15" sqref="E15"/>
    </sheetView>
  </sheetViews>
  <sheetFormatPr defaultColWidth="10.90625" defaultRowHeight="12.5" x14ac:dyDescent="0.25"/>
  <cols>
    <col min="1" max="1" width="17.453125" customWidth="1"/>
    <col min="2" max="2" width="13.54296875" customWidth="1"/>
    <col min="4" max="4" width="13" customWidth="1"/>
  </cols>
  <sheetData>
    <row r="1" spans="1:5" ht="14.5" x14ac:dyDescent="0.35">
      <c r="A1" s="71" t="s">
        <v>115</v>
      </c>
      <c r="B1" s="72" t="s">
        <v>116</v>
      </c>
      <c r="D1" s="72" t="s">
        <v>117</v>
      </c>
    </row>
    <row r="2" spans="1:5" x14ac:dyDescent="0.25">
      <c r="A2" s="75" t="s">
        <v>118</v>
      </c>
      <c r="B2" s="76">
        <v>5600</v>
      </c>
      <c r="C2" s="77"/>
      <c r="D2" s="76">
        <v>5600</v>
      </c>
    </row>
    <row r="3" spans="1:5" x14ac:dyDescent="0.25">
      <c r="A3" s="73" t="s">
        <v>119</v>
      </c>
      <c r="B3" s="72">
        <v>2122</v>
      </c>
      <c r="D3" s="72">
        <v>3723</v>
      </c>
    </row>
    <row r="4" spans="1:5" x14ac:dyDescent="0.25">
      <c r="A4" s="73" t="s">
        <v>120</v>
      </c>
      <c r="B4" s="72">
        <v>6000</v>
      </c>
      <c r="D4" s="72">
        <v>7000</v>
      </c>
    </row>
    <row r="5" spans="1:5" x14ac:dyDescent="0.25">
      <c r="A5" s="73" t="s">
        <v>121</v>
      </c>
      <c r="B5" s="72">
        <v>2500</v>
      </c>
      <c r="D5" s="72">
        <v>5200</v>
      </c>
      <c r="E5" t="s">
        <v>122</v>
      </c>
    </row>
    <row r="6" spans="1:5" x14ac:dyDescent="0.25">
      <c r="A6" s="73" t="s">
        <v>123</v>
      </c>
      <c r="B6" s="72">
        <f>6*170</f>
        <v>1020</v>
      </c>
      <c r="D6" s="72">
        <v>2040</v>
      </c>
      <c r="E6" t="s">
        <v>124</v>
      </c>
    </row>
    <row r="7" spans="1:5" x14ac:dyDescent="0.25">
      <c r="A7" s="73" t="s">
        <v>125</v>
      </c>
      <c r="B7" s="72">
        <v>0</v>
      </c>
      <c r="D7" s="72">
        <v>9000</v>
      </c>
    </row>
    <row r="8" spans="1:5" x14ac:dyDescent="0.25">
      <c r="A8" s="73" t="s">
        <v>126</v>
      </c>
      <c r="B8" s="72">
        <v>0</v>
      </c>
      <c r="D8" s="72">
        <v>1000</v>
      </c>
    </row>
    <row r="9" spans="1:5" ht="14.5" x14ac:dyDescent="0.35">
      <c r="A9" s="74" t="s">
        <v>127</v>
      </c>
      <c r="B9" s="72">
        <f>SUM(B2:B8)</f>
        <v>17242</v>
      </c>
      <c r="D9" s="72">
        <f>SUM(D2:D8)</f>
        <v>33563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F0EB-40FE-40B9-87A2-59BBBA56DF5C}">
  <dimension ref="A1:D4"/>
  <sheetViews>
    <sheetView tabSelected="1" workbookViewId="0">
      <selection activeCell="B5" sqref="B5"/>
    </sheetView>
  </sheetViews>
  <sheetFormatPr defaultRowHeight="12.5" x14ac:dyDescent="0.25"/>
  <cols>
    <col min="1" max="1" width="22.54296875" style="78" customWidth="1"/>
    <col min="2" max="2" width="12.81640625" style="78" customWidth="1"/>
    <col min="3" max="16384" width="8.7265625" style="78"/>
  </cols>
  <sheetData>
    <row r="1" spans="1:4" ht="13" x14ac:dyDescent="0.3">
      <c r="B1" s="82" t="s">
        <v>116</v>
      </c>
      <c r="C1" s="82"/>
      <c r="D1" s="82" t="s">
        <v>117</v>
      </c>
    </row>
    <row r="2" spans="1:4" ht="13" x14ac:dyDescent="0.3">
      <c r="A2" s="82" t="s">
        <v>132</v>
      </c>
    </row>
    <row r="3" spans="1:4" x14ac:dyDescent="0.25">
      <c r="A3" s="81" t="s">
        <v>131</v>
      </c>
      <c r="B3" s="80">
        <v>2000</v>
      </c>
      <c r="D3" s="79">
        <v>2000</v>
      </c>
    </row>
    <row r="4" spans="1:4" x14ac:dyDescent="0.25">
      <c r="A4" s="81" t="s">
        <v>130</v>
      </c>
      <c r="B4" s="80">
        <v>400</v>
      </c>
      <c r="D4" s="79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Revised Budget</vt:lpstr>
      <vt:lpstr>Revised Personnel</vt:lpstr>
      <vt:lpstr>Budget</vt:lpstr>
      <vt:lpstr>Personnel</vt:lpstr>
      <vt:lpstr>Reopening</vt:lpstr>
      <vt:lpstr>Gubbio Kitchen</vt:lpstr>
      <vt:lpstr>Budget!Print_Area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Hobbs</cp:lastModifiedBy>
  <cp:lastPrinted>2020-01-15T00:00:38Z</cp:lastPrinted>
  <dcterms:created xsi:type="dcterms:W3CDTF">2020-01-08T01:34:49Z</dcterms:created>
  <dcterms:modified xsi:type="dcterms:W3CDTF">2021-06-30T03:56:17Z</dcterms:modified>
</cp:coreProperties>
</file>